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codeName="ThisWorkbook" defaultThemeVersion="124226"/>
  <mc:AlternateContent xmlns:mc="http://schemas.openxmlformats.org/markup-compatibility/2006">
    <mc:Choice Requires="x15">
      <x15ac:absPath xmlns:x15ac="http://schemas.microsoft.com/office/spreadsheetml/2010/11/ac" url="https://detnov-my.sharepoint.com/personal/sandra_masriera_detnov_com/Documents/System Calculator v2019/CAD-150/"/>
    </mc:Choice>
  </mc:AlternateContent>
  <xr:revisionPtr revIDLastSave="51" documentId="13_ncr:1_{38A79C5E-D2B7-4C5C-A84B-094E5506C410}" xr6:coauthVersionLast="45" xr6:coauthVersionMax="45" xr10:uidLastSave="{ED1C5E87-77B4-4A99-80B4-D1CE1186851F}"/>
  <bookViews>
    <workbookView xWindow="-108" yWindow="-108" windowWidth="23256" windowHeight="12576" xr2:uid="{00000000-000D-0000-FFFF-FFFF00000000}"/>
  </bookViews>
  <sheets>
    <sheet name="System Calculation" sheetId="1" r:id="rId1"/>
    <sheet name="Datos" sheetId="10" state="veryHidden" r:id="rId2"/>
    <sheet name="SC_Loop 1" sheetId="2" r:id="rId3"/>
    <sheet name="SC_Loop 2" sheetId="26" r:id="rId4"/>
    <sheet name="SC_Loop 3" sheetId="27" r:id="rId5"/>
    <sheet name="SC_Loop 4" sheetId="28" r:id="rId6"/>
    <sheet name="SC_Loop 5" sheetId="29" r:id="rId7"/>
    <sheet name="SC_Loop 6" sheetId="30" r:id="rId8"/>
    <sheet name="SC_Loop 7" sheetId="31" r:id="rId9"/>
    <sheet name="SC_Loop 8" sheetId="32" r:id="rId10"/>
  </sheets>
  <definedNames>
    <definedName name="CAD_150_1">Datos!$L$6</definedName>
    <definedName name="CAD_150_2">Datos!$M$6</definedName>
    <definedName name="CAD_150_2_MB">Datos!$N$6:$N$7</definedName>
    <definedName name="CAD_150_4">Datos!$O$6:$O$7</definedName>
    <definedName name="CAD_150_4_P">Datos!$V$6</definedName>
    <definedName name="CAD_150_8_4loop">Datos!$P$6:$P$7</definedName>
    <definedName name="CAD_150_8_6loop">Datos!$Q$6:$Q$7</definedName>
    <definedName name="CAD_150_8_8loop">Datos!$R$6:$R$7</definedName>
    <definedName name="CAD_150_8PLUS_4loop">Datos!$S$6:$S$8</definedName>
    <definedName name="CAD_150_8PLUS_6loop">Datos!$T$6:$T$8</definedName>
    <definedName name="CAD_150_8PLUS_8loop">Datos!$U$6:$U$8</definedName>
    <definedName name="CAD_150_8PLUS_P_4loop">Datos!$W$6:$W$8</definedName>
    <definedName name="CAD_150_8PLUS_P_6loop">Datos!$X$6:$X$8</definedName>
    <definedName name="CAD_150_8PLUS_P_8loop">Datos!$Y$6:$Y$8</definedName>
    <definedName name="Centrales">Datos!$K$5:$K$19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7" i="32" l="1"/>
  <c r="E56" i="32"/>
  <c r="E54" i="32"/>
  <c r="E53" i="32"/>
  <c r="E52" i="32"/>
  <c r="E51" i="32"/>
  <c r="E50" i="32"/>
  <c r="E49" i="32"/>
  <c r="E48" i="32"/>
  <c r="E47" i="32"/>
  <c r="E46" i="32"/>
  <c r="E45" i="32"/>
  <c r="E44" i="32"/>
  <c r="E43" i="32"/>
  <c r="E42" i="32"/>
  <c r="E41" i="32"/>
  <c r="E40" i="32"/>
  <c r="E39" i="32"/>
  <c r="E38" i="32"/>
  <c r="E37" i="32"/>
  <c r="E36" i="32"/>
  <c r="E35" i="32"/>
  <c r="E34" i="32"/>
  <c r="E33" i="32"/>
  <c r="E32" i="32"/>
  <c r="E31" i="32"/>
  <c r="E30" i="32"/>
  <c r="E29" i="32"/>
  <c r="E28" i="32"/>
  <c r="E27" i="32"/>
  <c r="E26" i="32"/>
  <c r="E25" i="32"/>
  <c r="E24" i="32"/>
  <c r="E23" i="32"/>
  <c r="E22" i="32"/>
  <c r="E21" i="32"/>
  <c r="E20" i="32"/>
  <c r="E19" i="32"/>
  <c r="E18" i="32"/>
  <c r="E17" i="32"/>
  <c r="E16" i="32"/>
  <c r="E15" i="32"/>
  <c r="E57" i="31"/>
  <c r="E56" i="31"/>
  <c r="E54" i="31"/>
  <c r="E53" i="31"/>
  <c r="E52" i="31"/>
  <c r="E51" i="31"/>
  <c r="E50" i="31"/>
  <c r="E49" i="31"/>
  <c r="E48" i="31"/>
  <c r="E47" i="31"/>
  <c r="E46" i="31"/>
  <c r="E45" i="31"/>
  <c r="E44" i="31"/>
  <c r="E43" i="31"/>
  <c r="E42" i="31"/>
  <c r="E41" i="31"/>
  <c r="E40" i="31"/>
  <c r="E39" i="31"/>
  <c r="E38" i="31"/>
  <c r="E37" i="31"/>
  <c r="E36" i="31"/>
  <c r="E35" i="31"/>
  <c r="E34" i="31"/>
  <c r="E33" i="31"/>
  <c r="E32" i="31"/>
  <c r="E31" i="31"/>
  <c r="E30" i="31"/>
  <c r="E29" i="31"/>
  <c r="E28" i="31"/>
  <c r="E27" i="31"/>
  <c r="E26" i="31"/>
  <c r="E25" i="31"/>
  <c r="E24" i="31"/>
  <c r="E23" i="31"/>
  <c r="E22" i="31"/>
  <c r="E21" i="31"/>
  <c r="E20" i="31"/>
  <c r="E19" i="31"/>
  <c r="E18" i="31"/>
  <c r="E17" i="31"/>
  <c r="E16" i="31"/>
  <c r="E15" i="31"/>
  <c r="E57" i="30"/>
  <c r="E56" i="30"/>
  <c r="E54" i="30"/>
  <c r="E53" i="30"/>
  <c r="E52" i="30"/>
  <c r="E51" i="30"/>
  <c r="E50" i="30"/>
  <c r="E49" i="30"/>
  <c r="E48" i="30"/>
  <c r="E47" i="30"/>
  <c r="E46" i="30"/>
  <c r="E45" i="30"/>
  <c r="E44" i="30"/>
  <c r="E43" i="30"/>
  <c r="E42" i="30"/>
  <c r="E41" i="30"/>
  <c r="E40" i="30"/>
  <c r="E39" i="30"/>
  <c r="E38" i="30"/>
  <c r="E37" i="30"/>
  <c r="E36" i="30"/>
  <c r="E35" i="30"/>
  <c r="E34" i="30"/>
  <c r="E33" i="30"/>
  <c r="E32" i="30"/>
  <c r="E31" i="30"/>
  <c r="E30" i="30"/>
  <c r="E29" i="30"/>
  <c r="E28" i="30"/>
  <c r="E27" i="30"/>
  <c r="E26" i="30"/>
  <c r="E25" i="30"/>
  <c r="E24" i="30"/>
  <c r="E23" i="30"/>
  <c r="E22" i="30"/>
  <c r="E21" i="30"/>
  <c r="E20" i="30"/>
  <c r="E19" i="30"/>
  <c r="E18" i="30"/>
  <c r="E17" i="30"/>
  <c r="E16" i="30"/>
  <c r="E15" i="30"/>
  <c r="E57" i="29"/>
  <c r="E56" i="29"/>
  <c r="E54" i="29"/>
  <c r="E53" i="29"/>
  <c r="E52" i="29"/>
  <c r="E51" i="29"/>
  <c r="E50" i="29"/>
  <c r="E49" i="29"/>
  <c r="E48" i="29"/>
  <c r="E47" i="29"/>
  <c r="E46" i="29"/>
  <c r="E45" i="29"/>
  <c r="E44" i="29"/>
  <c r="E43" i="29"/>
  <c r="E42" i="29"/>
  <c r="E41" i="29"/>
  <c r="E40" i="29"/>
  <c r="E39" i="29"/>
  <c r="E38" i="29"/>
  <c r="E37" i="29"/>
  <c r="E36" i="29"/>
  <c r="E35" i="29"/>
  <c r="E34" i="29"/>
  <c r="E33" i="29"/>
  <c r="E32" i="29"/>
  <c r="E31" i="29"/>
  <c r="E30" i="29"/>
  <c r="E29" i="29"/>
  <c r="E28" i="29"/>
  <c r="E27" i="29"/>
  <c r="E26" i="29"/>
  <c r="E25" i="29"/>
  <c r="E24" i="29"/>
  <c r="E23" i="29"/>
  <c r="E22" i="29"/>
  <c r="E21" i="29"/>
  <c r="E20" i="29"/>
  <c r="E19" i="29"/>
  <c r="E18" i="29"/>
  <c r="E17" i="29"/>
  <c r="E16" i="29"/>
  <c r="E15" i="29"/>
  <c r="E57" i="28"/>
  <c r="E56" i="28"/>
  <c r="E54" i="28"/>
  <c r="E53" i="28"/>
  <c r="E52" i="28"/>
  <c r="E51" i="28"/>
  <c r="E50" i="28"/>
  <c r="E49" i="28"/>
  <c r="E48" i="28"/>
  <c r="E47" i="28"/>
  <c r="E46" i="28"/>
  <c r="E45" i="28"/>
  <c r="E44" i="28"/>
  <c r="E43" i="28"/>
  <c r="E42" i="28"/>
  <c r="E41" i="28"/>
  <c r="E40" i="28"/>
  <c r="E39" i="28"/>
  <c r="E38" i="28"/>
  <c r="E37" i="28"/>
  <c r="E36" i="28"/>
  <c r="E35" i="28"/>
  <c r="E34" i="28"/>
  <c r="E33" i="28"/>
  <c r="E32" i="28"/>
  <c r="E31" i="28"/>
  <c r="E30" i="28"/>
  <c r="E29" i="28"/>
  <c r="E28" i="28"/>
  <c r="E27" i="28"/>
  <c r="E26" i="28"/>
  <c r="E25" i="28"/>
  <c r="E24" i="28"/>
  <c r="E23" i="28"/>
  <c r="E22" i="28"/>
  <c r="E21" i="28"/>
  <c r="E20" i="28"/>
  <c r="E19" i="28"/>
  <c r="E18" i="28"/>
  <c r="E17" i="28"/>
  <c r="E16" i="28"/>
  <c r="E15" i="28"/>
  <c r="E57" i="27"/>
  <c r="E56" i="27"/>
  <c r="E54" i="27"/>
  <c r="E53" i="27"/>
  <c r="E52" i="27"/>
  <c r="E51" i="27"/>
  <c r="E50" i="27"/>
  <c r="E49" i="27"/>
  <c r="E48" i="27"/>
  <c r="E47" i="27"/>
  <c r="E46" i="27"/>
  <c r="E45"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57" i="26"/>
  <c r="E56" i="26"/>
  <c r="E54" i="26"/>
  <c r="E53" i="26"/>
  <c r="E52" i="26"/>
  <c r="E51" i="26"/>
  <c r="E50" i="26"/>
  <c r="E49" i="26"/>
  <c r="E48" i="26"/>
  <c r="E47" i="26"/>
  <c r="E46" i="26"/>
  <c r="E45" i="26"/>
  <c r="E44" i="26"/>
  <c r="E43" i="26"/>
  <c r="E42" i="26"/>
  <c r="E41" i="26"/>
  <c r="E40" i="26"/>
  <c r="E39" i="26"/>
  <c r="E38" i="26"/>
  <c r="E37" i="26"/>
  <c r="E36" i="26"/>
  <c r="E35" i="26"/>
  <c r="E34" i="26"/>
  <c r="E33" i="26"/>
  <c r="E32" i="26"/>
  <c r="E31" i="26"/>
  <c r="E30" i="26"/>
  <c r="E29" i="26"/>
  <c r="E28" i="26"/>
  <c r="E27" i="26"/>
  <c r="E26" i="26"/>
  <c r="E25" i="26"/>
  <c r="E24" i="26"/>
  <c r="E23" i="26"/>
  <c r="E22" i="26"/>
  <c r="E21" i="26"/>
  <c r="E20" i="26"/>
  <c r="E19" i="26"/>
  <c r="E18" i="26"/>
  <c r="E17" i="26"/>
  <c r="E16" i="26"/>
  <c r="E15" i="26"/>
  <c r="E57" i="2" l="1"/>
  <c r="E56" i="2"/>
  <c r="E54" i="2" l="1"/>
  <c r="E53" i="2"/>
  <c r="E52" i="2"/>
  <c r="E46" i="2"/>
  <c r="E47" i="2"/>
  <c r="E48" i="2"/>
  <c r="E49" i="2"/>
  <c r="E50" i="2"/>
  <c r="E51" i="2"/>
  <c r="E45" i="2"/>
  <c r="E44" i="2"/>
  <c r="E43" i="2"/>
  <c r="E35" i="2"/>
  <c r="E36" i="2"/>
  <c r="E37" i="2"/>
  <c r="E38" i="2"/>
  <c r="E39" i="2"/>
  <c r="E40" i="2"/>
  <c r="E41" i="2"/>
  <c r="E42" i="2"/>
  <c r="E31" i="2"/>
  <c r="E32" i="2"/>
  <c r="E33" i="2"/>
  <c r="E34" i="2"/>
  <c r="E30" i="2"/>
  <c r="E29" i="2"/>
  <c r="E28" i="2"/>
  <c r="E27" i="2"/>
  <c r="C16" i="1" l="1"/>
  <c r="B16" i="1"/>
  <c r="B13" i="1" l="1"/>
  <c r="B37" i="1" l="1"/>
  <c r="B36" i="1"/>
  <c r="B35" i="1"/>
  <c r="B34" i="1"/>
  <c r="B33" i="1"/>
  <c r="B32" i="1"/>
  <c r="B31" i="1"/>
  <c r="B89" i="32"/>
  <c r="B90" i="32" s="1"/>
  <c r="B91" i="32" s="1"/>
  <c r="H88" i="32"/>
  <c r="B88" i="32"/>
  <c r="B87" i="32"/>
  <c r="H87" i="32" s="1"/>
  <c r="L62" i="32"/>
  <c r="F62" i="32"/>
  <c r="G62" i="32" s="1"/>
  <c r="D62" i="32"/>
  <c r="C62" i="32"/>
  <c r="A62" i="32"/>
  <c r="L61" i="32"/>
  <c r="G61" i="32"/>
  <c r="F61" i="32"/>
  <c r="C61" i="32"/>
  <c r="D61" i="32" s="1"/>
  <c r="A61" i="32"/>
  <c r="L60" i="32"/>
  <c r="G60" i="32"/>
  <c r="F60" i="32"/>
  <c r="C60" i="32"/>
  <c r="D60" i="32" s="1"/>
  <c r="A60" i="32"/>
  <c r="L59" i="32"/>
  <c r="G59" i="32"/>
  <c r="F59" i="32"/>
  <c r="D59" i="32"/>
  <c r="C59" i="32"/>
  <c r="A59" i="32"/>
  <c r="L58" i="32"/>
  <c r="B63" i="32" s="1"/>
  <c r="F58" i="32"/>
  <c r="G58" i="32" s="1"/>
  <c r="D58" i="32"/>
  <c r="C58" i="32"/>
  <c r="A58" i="32"/>
  <c r="F57" i="32"/>
  <c r="C57" i="32"/>
  <c r="D57" i="32" s="1"/>
  <c r="A57" i="32"/>
  <c r="F56" i="32"/>
  <c r="G56" i="32"/>
  <c r="C56" i="32"/>
  <c r="D56" i="32" s="1"/>
  <c r="A56" i="32"/>
  <c r="F55" i="32"/>
  <c r="G55" i="32" s="1"/>
  <c r="C55" i="32"/>
  <c r="D55" i="32" s="1"/>
  <c r="A55" i="32"/>
  <c r="J54" i="32"/>
  <c r="L54" i="32" s="1"/>
  <c r="F54" i="32"/>
  <c r="G54" i="32"/>
  <c r="C54" i="32"/>
  <c r="D54" i="32" s="1"/>
  <c r="A54" i="32"/>
  <c r="K53" i="32"/>
  <c r="L53" i="32" s="1"/>
  <c r="F53" i="32"/>
  <c r="G53" i="32" s="1"/>
  <c r="H53" i="32" s="1"/>
  <c r="D53" i="32"/>
  <c r="C53" i="32"/>
  <c r="A53" i="32"/>
  <c r="L52" i="32"/>
  <c r="K52" i="32"/>
  <c r="G52" i="32"/>
  <c r="H52" i="32" s="1"/>
  <c r="F52" i="32"/>
  <c r="C52" i="32"/>
  <c r="D52" i="32" s="1"/>
  <c r="A52" i="32"/>
  <c r="K51" i="32"/>
  <c r="L51" i="32" s="1"/>
  <c r="F51" i="32"/>
  <c r="G51" i="32"/>
  <c r="H51" i="32" s="1"/>
  <c r="D51" i="32"/>
  <c r="C51" i="32"/>
  <c r="A51" i="32"/>
  <c r="K50" i="32"/>
  <c r="L50" i="32" s="1"/>
  <c r="F50" i="32"/>
  <c r="G50" i="32"/>
  <c r="H50" i="32" s="1"/>
  <c r="D50" i="32"/>
  <c r="C50" i="32"/>
  <c r="A50" i="32"/>
  <c r="L49" i="32"/>
  <c r="K49" i="32"/>
  <c r="F49" i="32"/>
  <c r="G49" i="32"/>
  <c r="H49" i="32" s="1"/>
  <c r="C49" i="32"/>
  <c r="D49" i="32" s="1"/>
  <c r="A49" i="32"/>
  <c r="K48" i="32"/>
  <c r="L48" i="32" s="1"/>
  <c r="G48" i="32"/>
  <c r="H48" i="32" s="1"/>
  <c r="F48" i="32"/>
  <c r="C48" i="32"/>
  <c r="D48" i="32" s="1"/>
  <c r="A48" i="32"/>
  <c r="L47" i="32"/>
  <c r="K47" i="32"/>
  <c r="G47" i="32"/>
  <c r="H47" i="32" s="1"/>
  <c r="F47" i="32"/>
  <c r="D47" i="32"/>
  <c r="C47" i="32"/>
  <c r="A47" i="32"/>
  <c r="K46" i="32"/>
  <c r="L46" i="32" s="1"/>
  <c r="F46" i="32"/>
  <c r="G46" i="32"/>
  <c r="H46" i="32" s="1"/>
  <c r="C46" i="32"/>
  <c r="D46" i="32" s="1"/>
  <c r="A46" i="32"/>
  <c r="L45" i="32"/>
  <c r="K45" i="32"/>
  <c r="K63" i="32" s="1"/>
  <c r="F45" i="32"/>
  <c r="G45" i="32" s="1"/>
  <c r="H45" i="32" s="1"/>
  <c r="D45" i="32"/>
  <c r="C45" i="32"/>
  <c r="A45" i="32"/>
  <c r="L44" i="32"/>
  <c r="F44" i="32"/>
  <c r="G44" i="32"/>
  <c r="C44" i="32"/>
  <c r="D44" i="32" s="1"/>
  <c r="A44" i="32"/>
  <c r="L43" i="32"/>
  <c r="G43" i="32"/>
  <c r="F43" i="32"/>
  <c r="D43" i="32"/>
  <c r="C43" i="32"/>
  <c r="A43" i="32"/>
  <c r="N42" i="32"/>
  <c r="L42" i="32"/>
  <c r="J42" i="32"/>
  <c r="F42" i="32"/>
  <c r="G42" i="32"/>
  <c r="C42" i="32"/>
  <c r="D42" i="32" s="1"/>
  <c r="A42" i="32"/>
  <c r="N41" i="32"/>
  <c r="L41" i="32"/>
  <c r="J41" i="32"/>
  <c r="F41" i="32"/>
  <c r="G41" i="32" s="1"/>
  <c r="D41" i="32"/>
  <c r="C41" i="32"/>
  <c r="A41" i="32"/>
  <c r="N40" i="32"/>
  <c r="J40" i="32"/>
  <c r="L40" i="32" s="1"/>
  <c r="G40" i="32"/>
  <c r="F40" i="32"/>
  <c r="C40" i="32"/>
  <c r="D40" i="32" s="1"/>
  <c r="A40" i="32"/>
  <c r="N39" i="32"/>
  <c r="J39" i="32"/>
  <c r="L39" i="32" s="1"/>
  <c r="F39" i="32"/>
  <c r="G39" i="32"/>
  <c r="C39" i="32"/>
  <c r="D39" i="32" s="1"/>
  <c r="A39" i="32"/>
  <c r="N38" i="32"/>
  <c r="L38" i="32"/>
  <c r="J38" i="32"/>
  <c r="F38" i="32"/>
  <c r="G38" i="32"/>
  <c r="D38" i="32"/>
  <c r="C38" i="32"/>
  <c r="A38" i="32"/>
  <c r="N37" i="32"/>
  <c r="J37" i="32"/>
  <c r="L37" i="32" s="1"/>
  <c r="F37" i="32"/>
  <c r="C37" i="32"/>
  <c r="D37" i="32" s="1"/>
  <c r="A37" i="32"/>
  <c r="N36" i="32"/>
  <c r="L36" i="32"/>
  <c r="J36" i="32"/>
  <c r="G36" i="32"/>
  <c r="F36" i="32"/>
  <c r="C36" i="32"/>
  <c r="D36" i="32" s="1"/>
  <c r="A36" i="32"/>
  <c r="L35" i="32"/>
  <c r="J35" i="32"/>
  <c r="G35" i="32"/>
  <c r="F35" i="32"/>
  <c r="C35" i="32"/>
  <c r="D35" i="32" s="1"/>
  <c r="A35" i="32"/>
  <c r="N34" i="32"/>
  <c r="J34" i="32"/>
  <c r="L34" i="32" s="1"/>
  <c r="G34" i="32"/>
  <c r="F34" i="32"/>
  <c r="D34" i="32"/>
  <c r="C34" i="32"/>
  <c r="A34" i="32"/>
  <c r="N33" i="32"/>
  <c r="L33" i="32"/>
  <c r="J33" i="32"/>
  <c r="F33" i="32"/>
  <c r="G33" i="32"/>
  <c r="C33" i="32"/>
  <c r="D33" i="32" s="1"/>
  <c r="A33" i="32"/>
  <c r="L32" i="32"/>
  <c r="J32" i="32"/>
  <c r="F32" i="32"/>
  <c r="G32" i="32"/>
  <c r="C32" i="32"/>
  <c r="D32" i="32" s="1"/>
  <c r="A32" i="32"/>
  <c r="L31" i="32"/>
  <c r="J31" i="32"/>
  <c r="F31" i="32"/>
  <c r="G31" i="32"/>
  <c r="C31" i="32"/>
  <c r="D31" i="32" s="1"/>
  <c r="A31" i="32"/>
  <c r="L30" i="32"/>
  <c r="J30" i="32"/>
  <c r="F30" i="32"/>
  <c r="G30" i="32"/>
  <c r="C30" i="32"/>
  <c r="D30" i="32" s="1"/>
  <c r="A30" i="32"/>
  <c r="L29" i="32"/>
  <c r="J29" i="32"/>
  <c r="F29" i="32"/>
  <c r="G29" i="32"/>
  <c r="C29" i="32"/>
  <c r="D29" i="32" s="1"/>
  <c r="A29" i="32"/>
  <c r="L28" i="32"/>
  <c r="J28" i="32"/>
  <c r="F28" i="32"/>
  <c r="G28" i="32"/>
  <c r="C28" i="32"/>
  <c r="D28" i="32" s="1"/>
  <c r="A28" i="32"/>
  <c r="L27" i="32"/>
  <c r="J27" i="32"/>
  <c r="F27" i="32"/>
  <c r="G27" i="32"/>
  <c r="C27" i="32"/>
  <c r="D27" i="32" s="1"/>
  <c r="A27" i="32"/>
  <c r="L26" i="32"/>
  <c r="I26" i="32"/>
  <c r="F26" i="32"/>
  <c r="G26" i="32"/>
  <c r="C26" i="32"/>
  <c r="D26" i="32" s="1"/>
  <c r="A26" i="32"/>
  <c r="L25" i="32"/>
  <c r="I25" i="32"/>
  <c r="F25" i="32"/>
  <c r="G25" i="32"/>
  <c r="C25" i="32"/>
  <c r="D25" i="32" s="1"/>
  <c r="A25" i="32"/>
  <c r="L24" i="32"/>
  <c r="I24" i="32"/>
  <c r="F24" i="32"/>
  <c r="G24" i="32"/>
  <c r="C24" i="32"/>
  <c r="D24" i="32" s="1"/>
  <c r="A24" i="32"/>
  <c r="L23" i="32"/>
  <c r="I23" i="32"/>
  <c r="F23" i="32"/>
  <c r="G23" i="32"/>
  <c r="C23" i="32"/>
  <c r="D23" i="32" s="1"/>
  <c r="A23" i="32"/>
  <c r="L22" i="32"/>
  <c r="I22" i="32"/>
  <c r="F22" i="32"/>
  <c r="G22" i="32"/>
  <c r="C22" i="32"/>
  <c r="D22" i="32" s="1"/>
  <c r="A22" i="32"/>
  <c r="L21" i="32"/>
  <c r="I21" i="32"/>
  <c r="F21" i="32"/>
  <c r="G21" i="32"/>
  <c r="C21" i="32"/>
  <c r="D21" i="32" s="1"/>
  <c r="A21" i="32"/>
  <c r="L20" i="32"/>
  <c r="I20" i="32"/>
  <c r="F20" i="32"/>
  <c r="G20" i="32"/>
  <c r="C20" i="32"/>
  <c r="D20" i="32" s="1"/>
  <c r="A20" i="32"/>
  <c r="L19" i="32"/>
  <c r="I19" i="32"/>
  <c r="F19" i="32"/>
  <c r="G19" i="32"/>
  <c r="C19" i="32"/>
  <c r="D19" i="32" s="1"/>
  <c r="A19" i="32"/>
  <c r="L18" i="32"/>
  <c r="I18" i="32"/>
  <c r="F18" i="32"/>
  <c r="G18" i="32"/>
  <c r="C18" i="32"/>
  <c r="D18" i="32" s="1"/>
  <c r="A18" i="32"/>
  <c r="L17" i="32"/>
  <c r="I17" i="32"/>
  <c r="F17" i="32"/>
  <c r="G17" i="32"/>
  <c r="C17" i="32"/>
  <c r="D17" i="32" s="1"/>
  <c r="A17" i="32"/>
  <c r="L16" i="32"/>
  <c r="I16" i="32"/>
  <c r="F16" i="32"/>
  <c r="G16" i="32"/>
  <c r="C16" i="32"/>
  <c r="D16" i="32" s="1"/>
  <c r="A16" i="32"/>
  <c r="L15" i="32"/>
  <c r="I15" i="32"/>
  <c r="F15" i="32"/>
  <c r="G15" i="32"/>
  <c r="C15" i="32"/>
  <c r="D15" i="32" s="1"/>
  <c r="A15" i="32"/>
  <c r="G8" i="32"/>
  <c r="L5" i="32"/>
  <c r="A5" i="32"/>
  <c r="B88" i="31"/>
  <c r="H87" i="31"/>
  <c r="B87" i="31"/>
  <c r="L62" i="31"/>
  <c r="F62" i="31"/>
  <c r="G62" i="31" s="1"/>
  <c r="D62" i="31"/>
  <c r="C62" i="31"/>
  <c r="A62" i="31"/>
  <c r="L61" i="31"/>
  <c r="F61" i="31"/>
  <c r="G61" i="31" s="1"/>
  <c r="C61" i="31"/>
  <c r="D61" i="31" s="1"/>
  <c r="A61" i="31"/>
  <c r="L60" i="31"/>
  <c r="F60" i="31"/>
  <c r="G60" i="31" s="1"/>
  <c r="C60" i="31"/>
  <c r="D60" i="31" s="1"/>
  <c r="A60" i="31"/>
  <c r="L59" i="31"/>
  <c r="G59" i="31"/>
  <c r="F59" i="31"/>
  <c r="C59" i="31"/>
  <c r="D59" i="31" s="1"/>
  <c r="A59" i="31"/>
  <c r="L58" i="31"/>
  <c r="B63" i="31" s="1"/>
  <c r="F58" i="31"/>
  <c r="G58" i="31" s="1"/>
  <c r="D58" i="31"/>
  <c r="C58" i="31"/>
  <c r="A58" i="31"/>
  <c r="G57" i="31"/>
  <c r="F57" i="31"/>
  <c r="C57" i="31"/>
  <c r="D57" i="31" s="1"/>
  <c r="A57" i="31"/>
  <c r="F56" i="31"/>
  <c r="G56" i="31"/>
  <c r="C56" i="31"/>
  <c r="D56" i="31" s="1"/>
  <c r="A56" i="31"/>
  <c r="G55" i="31"/>
  <c r="F55" i="31"/>
  <c r="C55" i="31"/>
  <c r="D55" i="31" s="1"/>
  <c r="A55" i="31"/>
  <c r="J54" i="31"/>
  <c r="L54" i="31" s="1"/>
  <c r="F54" i="31"/>
  <c r="G54" i="31"/>
  <c r="C54" i="31"/>
  <c r="D54" i="31" s="1"/>
  <c r="A54" i="31"/>
  <c r="K53" i="31"/>
  <c r="L53" i="31" s="1"/>
  <c r="G53" i="31"/>
  <c r="H53" i="31" s="1"/>
  <c r="F53" i="31"/>
  <c r="C53" i="31"/>
  <c r="D53" i="31" s="1"/>
  <c r="A53" i="31"/>
  <c r="K52" i="31"/>
  <c r="L52" i="31" s="1"/>
  <c r="G52" i="31"/>
  <c r="H52" i="31" s="1"/>
  <c r="F52" i="31"/>
  <c r="D52" i="31"/>
  <c r="C52" i="31"/>
  <c r="A52" i="31"/>
  <c r="K51" i="31"/>
  <c r="L51" i="31" s="1"/>
  <c r="F51" i="31"/>
  <c r="G51" i="31"/>
  <c r="H51" i="31" s="1"/>
  <c r="C51" i="31"/>
  <c r="D51" i="31" s="1"/>
  <c r="A51" i="31"/>
  <c r="K50" i="31"/>
  <c r="L50" i="31" s="1"/>
  <c r="F50" i="31"/>
  <c r="G50" i="31" s="1"/>
  <c r="H50" i="31" s="1"/>
  <c r="C50" i="31"/>
  <c r="D50" i="31" s="1"/>
  <c r="A50" i="31"/>
  <c r="L49" i="31"/>
  <c r="K49" i="31"/>
  <c r="G49" i="31"/>
  <c r="H49" i="31" s="1"/>
  <c r="F49" i="31"/>
  <c r="C49" i="31"/>
  <c r="D49" i="31" s="1"/>
  <c r="A49" i="31"/>
  <c r="K48" i="31"/>
  <c r="L48" i="31" s="1"/>
  <c r="F48" i="31"/>
  <c r="G48" i="31"/>
  <c r="H48" i="31" s="1"/>
  <c r="C48" i="31"/>
  <c r="D48" i="31" s="1"/>
  <c r="A48" i="31"/>
  <c r="K47" i="31"/>
  <c r="L47" i="31" s="1"/>
  <c r="F47" i="31"/>
  <c r="G47" i="31"/>
  <c r="H47" i="31" s="1"/>
  <c r="D47" i="31"/>
  <c r="C47" i="31"/>
  <c r="A47" i="31"/>
  <c r="L46" i="31"/>
  <c r="K46" i="31"/>
  <c r="F46" i="31"/>
  <c r="C46" i="31"/>
  <c r="D46" i="31" s="1"/>
  <c r="A46" i="31"/>
  <c r="K45" i="31"/>
  <c r="L45" i="31" s="1"/>
  <c r="F45" i="31"/>
  <c r="G45" i="31" s="1"/>
  <c r="H45" i="31" s="1"/>
  <c r="C45" i="31"/>
  <c r="D45" i="31" s="1"/>
  <c r="A45" i="31"/>
  <c r="L44" i="31"/>
  <c r="F44" i="31"/>
  <c r="G44" i="31"/>
  <c r="C44" i="31"/>
  <c r="D44" i="31" s="1"/>
  <c r="A44" i="31"/>
  <c r="L43" i="31"/>
  <c r="F43" i="31"/>
  <c r="G43" i="31"/>
  <c r="D43" i="31"/>
  <c r="C43" i="31"/>
  <c r="A43" i="31"/>
  <c r="N42" i="31"/>
  <c r="J42" i="31"/>
  <c r="L42" i="31" s="1"/>
  <c r="F42" i="31"/>
  <c r="C42" i="31"/>
  <c r="D42" i="31" s="1"/>
  <c r="A42" i="31"/>
  <c r="N41" i="31"/>
  <c r="L41" i="31"/>
  <c r="J41" i="31"/>
  <c r="G41" i="31"/>
  <c r="F41" i="31"/>
  <c r="C41" i="31"/>
  <c r="D41" i="31" s="1"/>
  <c r="A41" i="31"/>
  <c r="N40" i="31"/>
  <c r="J40" i="31"/>
  <c r="L40" i="31" s="1"/>
  <c r="G40" i="31"/>
  <c r="F40" i="31"/>
  <c r="D40" i="31"/>
  <c r="C40" i="31"/>
  <c r="A40" i="31"/>
  <c r="N39" i="31"/>
  <c r="J39" i="31"/>
  <c r="L39" i="31" s="1"/>
  <c r="F39" i="31"/>
  <c r="G39" i="31"/>
  <c r="C39" i="31"/>
  <c r="D39" i="31" s="1"/>
  <c r="A39" i="31"/>
  <c r="N38" i="31"/>
  <c r="L38" i="31"/>
  <c r="J38" i="31"/>
  <c r="F38" i="31"/>
  <c r="G38" i="31" s="1"/>
  <c r="D38" i="31"/>
  <c r="C38" i="31"/>
  <c r="A38" i="31"/>
  <c r="N37" i="31"/>
  <c r="J37" i="31"/>
  <c r="L37" i="31" s="1"/>
  <c r="F37" i="31"/>
  <c r="G37" i="31"/>
  <c r="C37" i="31"/>
  <c r="D37" i="31" s="1"/>
  <c r="A37" i="31"/>
  <c r="N36" i="31"/>
  <c r="J36" i="31"/>
  <c r="L36" i="31" s="1"/>
  <c r="F36" i="31"/>
  <c r="G36" i="31"/>
  <c r="C36" i="31"/>
  <c r="D36" i="31" s="1"/>
  <c r="A36" i="31"/>
  <c r="J35" i="31"/>
  <c r="L35" i="31" s="1"/>
  <c r="F35" i="31"/>
  <c r="G35" i="31"/>
  <c r="C35" i="31"/>
  <c r="D35" i="31" s="1"/>
  <c r="A35" i="31"/>
  <c r="N34" i="31"/>
  <c r="L34" i="31"/>
  <c r="J34" i="31"/>
  <c r="F34" i="31"/>
  <c r="G34" i="31"/>
  <c r="D34" i="31"/>
  <c r="C34" i="31"/>
  <c r="A34" i="31"/>
  <c r="N33" i="31"/>
  <c r="J33" i="31"/>
  <c r="L33" i="31" s="1"/>
  <c r="F33" i="31"/>
  <c r="G33" i="31"/>
  <c r="C33" i="31"/>
  <c r="D33" i="31" s="1"/>
  <c r="A33" i="31"/>
  <c r="J32" i="31"/>
  <c r="L32" i="31" s="1"/>
  <c r="F32" i="31"/>
  <c r="C32" i="31"/>
  <c r="D32" i="31" s="1"/>
  <c r="A32" i="31"/>
  <c r="J31" i="31"/>
  <c r="L31" i="31" s="1"/>
  <c r="F31" i="31"/>
  <c r="G31" i="31"/>
  <c r="C31" i="31"/>
  <c r="D31" i="31" s="1"/>
  <c r="A31" i="31"/>
  <c r="J30" i="31"/>
  <c r="L30" i="31" s="1"/>
  <c r="F30" i="31"/>
  <c r="C30" i="31"/>
  <c r="D30" i="31" s="1"/>
  <c r="A30" i="31"/>
  <c r="J29" i="31"/>
  <c r="L29" i="31" s="1"/>
  <c r="F29" i="31"/>
  <c r="G29" i="31"/>
  <c r="C29" i="31"/>
  <c r="D29" i="31" s="1"/>
  <c r="A29" i="31"/>
  <c r="J28" i="31"/>
  <c r="L28" i="31" s="1"/>
  <c r="F28" i="31"/>
  <c r="G28" i="31" s="1"/>
  <c r="C28" i="31"/>
  <c r="D28" i="31" s="1"/>
  <c r="A28" i="31"/>
  <c r="J27" i="31"/>
  <c r="F27" i="31"/>
  <c r="G27" i="31"/>
  <c r="C27" i="31"/>
  <c r="D27" i="31" s="1"/>
  <c r="A27" i="31"/>
  <c r="I26" i="31"/>
  <c r="L26" i="31" s="1"/>
  <c r="G26" i="31"/>
  <c r="F26" i="31"/>
  <c r="C26" i="31"/>
  <c r="D26" i="31" s="1"/>
  <c r="A26" i="31"/>
  <c r="I25" i="31"/>
  <c r="L25" i="31" s="1"/>
  <c r="F25" i="31"/>
  <c r="G25" i="31"/>
  <c r="C25" i="31"/>
  <c r="D25" i="31" s="1"/>
  <c r="A25" i="31"/>
  <c r="I24" i="31"/>
  <c r="L24" i="31" s="1"/>
  <c r="F24" i="31"/>
  <c r="G24" i="31" s="1"/>
  <c r="C24" i="31"/>
  <c r="D24" i="31" s="1"/>
  <c r="A24" i="31"/>
  <c r="I23" i="31"/>
  <c r="L23" i="31" s="1"/>
  <c r="F23" i="31"/>
  <c r="G23" i="31"/>
  <c r="C23" i="31"/>
  <c r="D23" i="31" s="1"/>
  <c r="A23" i="31"/>
  <c r="I22" i="31"/>
  <c r="L22" i="31" s="1"/>
  <c r="G22" i="31"/>
  <c r="F22" i="31"/>
  <c r="D22" i="31"/>
  <c r="C22" i="31"/>
  <c r="A22" i="31"/>
  <c r="I21" i="31"/>
  <c r="L21" i="31" s="1"/>
  <c r="G21" i="31"/>
  <c r="F21" i="31"/>
  <c r="C21" i="31"/>
  <c r="D21" i="31" s="1"/>
  <c r="A21" i="31"/>
  <c r="I20" i="31"/>
  <c r="L20" i="31" s="1"/>
  <c r="F20" i="31"/>
  <c r="G20" i="31"/>
  <c r="D20" i="31"/>
  <c r="C20" i="31"/>
  <c r="A20" i="31"/>
  <c r="I19" i="31"/>
  <c r="L19" i="31" s="1"/>
  <c r="F19" i="31"/>
  <c r="G19" i="31"/>
  <c r="D19" i="31"/>
  <c r="C19" i="31"/>
  <c r="A19" i="31"/>
  <c r="I18" i="31"/>
  <c r="L18" i="31" s="1"/>
  <c r="F18" i="31"/>
  <c r="G18" i="31" s="1"/>
  <c r="D18" i="31"/>
  <c r="C18" i="31"/>
  <c r="A18" i="31"/>
  <c r="I17" i="31"/>
  <c r="L17" i="31" s="1"/>
  <c r="F17" i="31"/>
  <c r="G17" i="31"/>
  <c r="C17" i="31"/>
  <c r="D17" i="31" s="1"/>
  <c r="A17" i="31"/>
  <c r="I16" i="31"/>
  <c r="L16" i="31" s="1"/>
  <c r="F16" i="31"/>
  <c r="G16" i="31"/>
  <c r="D16" i="31"/>
  <c r="C16" i="31"/>
  <c r="A16" i="31"/>
  <c r="I15" i="31"/>
  <c r="L15" i="31" s="1"/>
  <c r="F15" i="31"/>
  <c r="C15" i="31"/>
  <c r="D15" i="31" s="1"/>
  <c r="A15" i="31"/>
  <c r="G8" i="31"/>
  <c r="L5" i="31"/>
  <c r="A5" i="31"/>
  <c r="H88" i="30"/>
  <c r="B88" i="30"/>
  <c r="B89" i="30" s="1"/>
  <c r="B90" i="30" s="1"/>
  <c r="B91" i="30" s="1"/>
  <c r="B87" i="30"/>
  <c r="H87" i="30" s="1"/>
  <c r="L62" i="30"/>
  <c r="G62" i="30"/>
  <c r="F62" i="30"/>
  <c r="D62" i="30"/>
  <c r="C62" i="30"/>
  <c r="A62" i="30"/>
  <c r="L61" i="30"/>
  <c r="F61" i="30"/>
  <c r="G61" i="30" s="1"/>
  <c r="D61" i="30"/>
  <c r="C61" i="30"/>
  <c r="A61" i="30"/>
  <c r="L60" i="30"/>
  <c r="G60" i="30"/>
  <c r="F60" i="30"/>
  <c r="C60" i="30"/>
  <c r="D60" i="30" s="1"/>
  <c r="A60" i="30"/>
  <c r="L59" i="30"/>
  <c r="G59" i="30"/>
  <c r="F59" i="30"/>
  <c r="D59" i="30"/>
  <c r="C59" i="30"/>
  <c r="A59" i="30"/>
  <c r="L58" i="30"/>
  <c r="B63" i="30" s="1"/>
  <c r="G58" i="30"/>
  <c r="F58" i="30"/>
  <c r="D58" i="30"/>
  <c r="C58" i="30"/>
  <c r="A58" i="30"/>
  <c r="G57" i="30"/>
  <c r="F57" i="30"/>
  <c r="D57" i="30"/>
  <c r="C57" i="30"/>
  <c r="A57" i="30"/>
  <c r="F56" i="30"/>
  <c r="G56" i="30" s="1"/>
  <c r="C56" i="30"/>
  <c r="D56" i="30" s="1"/>
  <c r="A56" i="30"/>
  <c r="F55" i="30"/>
  <c r="G55" i="30" s="1"/>
  <c r="C55" i="30"/>
  <c r="D55" i="30" s="1"/>
  <c r="A55" i="30"/>
  <c r="J54" i="30"/>
  <c r="L54" i="30" s="1"/>
  <c r="F54" i="30"/>
  <c r="G54" i="30"/>
  <c r="C54" i="30"/>
  <c r="D54" i="30" s="1"/>
  <c r="A54" i="30"/>
  <c r="K53" i="30"/>
  <c r="L53" i="30" s="1"/>
  <c r="F53" i="30"/>
  <c r="G53" i="30"/>
  <c r="H53" i="30" s="1"/>
  <c r="D53" i="30"/>
  <c r="C53" i="30"/>
  <c r="A53" i="30"/>
  <c r="K52" i="30"/>
  <c r="L52" i="30" s="1"/>
  <c r="F52" i="30"/>
  <c r="G52" i="30"/>
  <c r="H52" i="30" s="1"/>
  <c r="D52" i="30"/>
  <c r="C52" i="30"/>
  <c r="A52" i="30"/>
  <c r="L51" i="30"/>
  <c r="K51" i="30"/>
  <c r="F51" i="30"/>
  <c r="G51" i="30" s="1"/>
  <c r="H51" i="30" s="1"/>
  <c r="C51" i="30"/>
  <c r="D51" i="30" s="1"/>
  <c r="A51" i="30"/>
  <c r="K50" i="30"/>
  <c r="L50" i="30" s="1"/>
  <c r="G50" i="30"/>
  <c r="H50" i="30" s="1"/>
  <c r="F50" i="30"/>
  <c r="C50" i="30"/>
  <c r="D50" i="30" s="1"/>
  <c r="A50" i="30"/>
  <c r="L49" i="30"/>
  <c r="K49" i="30"/>
  <c r="G49" i="30"/>
  <c r="H49" i="30" s="1"/>
  <c r="F49" i="30"/>
  <c r="D49" i="30"/>
  <c r="C49" i="30"/>
  <c r="A49" i="30"/>
  <c r="K48" i="30"/>
  <c r="L48" i="30" s="1"/>
  <c r="F48" i="30"/>
  <c r="G48" i="30"/>
  <c r="H48" i="30" s="1"/>
  <c r="C48" i="30"/>
  <c r="D48" i="30" s="1"/>
  <c r="A48" i="30"/>
  <c r="L47" i="30"/>
  <c r="K47" i="30"/>
  <c r="F47" i="30"/>
  <c r="G47" i="30" s="1"/>
  <c r="H47" i="30" s="1"/>
  <c r="D47" i="30"/>
  <c r="C47" i="30"/>
  <c r="A47" i="30"/>
  <c r="L46" i="30"/>
  <c r="K46" i="30"/>
  <c r="F46" i="30"/>
  <c r="G46" i="30"/>
  <c r="H46" i="30" s="1"/>
  <c r="C46" i="30"/>
  <c r="D46" i="30" s="1"/>
  <c r="A46" i="30"/>
  <c r="K45" i="30"/>
  <c r="L45" i="30" s="1"/>
  <c r="F45" i="30"/>
  <c r="G45" i="30"/>
  <c r="H45" i="30" s="1"/>
  <c r="D45" i="30"/>
  <c r="C45" i="30"/>
  <c r="A45" i="30"/>
  <c r="L44" i="30"/>
  <c r="F44" i="30"/>
  <c r="G44" i="30"/>
  <c r="C44" i="30"/>
  <c r="D44" i="30" s="1"/>
  <c r="A44" i="30"/>
  <c r="L43" i="30"/>
  <c r="F43" i="30"/>
  <c r="G43" i="30" s="1"/>
  <c r="D43" i="30"/>
  <c r="C43" i="30"/>
  <c r="A43" i="30"/>
  <c r="N42" i="30"/>
  <c r="J42" i="30"/>
  <c r="L42" i="30" s="1"/>
  <c r="F42" i="30"/>
  <c r="G42" i="30"/>
  <c r="C42" i="30"/>
  <c r="D42" i="30" s="1"/>
  <c r="A42" i="30"/>
  <c r="N41" i="30"/>
  <c r="J41" i="30"/>
  <c r="L41" i="30" s="1"/>
  <c r="F41" i="30"/>
  <c r="G41" i="30"/>
  <c r="D41" i="30"/>
  <c r="C41" i="30"/>
  <c r="A41" i="30"/>
  <c r="N40" i="30"/>
  <c r="L40" i="30"/>
  <c r="J40" i="30"/>
  <c r="F40" i="30"/>
  <c r="E63" i="30"/>
  <c r="D40" i="30"/>
  <c r="C40" i="30"/>
  <c r="A40" i="30"/>
  <c r="N39" i="30"/>
  <c r="J39" i="30"/>
  <c r="L39" i="30" s="1"/>
  <c r="F39" i="30"/>
  <c r="G39" i="30" s="1"/>
  <c r="C39" i="30"/>
  <c r="D39" i="30" s="1"/>
  <c r="A39" i="30"/>
  <c r="N38" i="30"/>
  <c r="L38" i="30"/>
  <c r="J38" i="30"/>
  <c r="G38" i="30"/>
  <c r="F38" i="30"/>
  <c r="C38" i="30"/>
  <c r="D38" i="30" s="1"/>
  <c r="A38" i="30"/>
  <c r="N37" i="30"/>
  <c r="J37" i="30"/>
  <c r="L37" i="30" s="1"/>
  <c r="G37" i="30"/>
  <c r="F37" i="30"/>
  <c r="D37" i="30"/>
  <c r="C37" i="30"/>
  <c r="A37" i="30"/>
  <c r="N36" i="30"/>
  <c r="L36" i="30"/>
  <c r="J36" i="30"/>
  <c r="F36" i="30"/>
  <c r="G36" i="30"/>
  <c r="C36" i="30"/>
  <c r="D36" i="30" s="1"/>
  <c r="A36" i="30"/>
  <c r="L35" i="30"/>
  <c r="J35" i="30"/>
  <c r="J63" i="30" s="1"/>
  <c r="F35" i="30"/>
  <c r="G35" i="30"/>
  <c r="C35" i="30"/>
  <c r="D35" i="30" s="1"/>
  <c r="A35" i="30"/>
  <c r="N34" i="30"/>
  <c r="L34" i="30"/>
  <c r="J34" i="30"/>
  <c r="F34" i="30"/>
  <c r="G34" i="30" s="1"/>
  <c r="D34" i="30"/>
  <c r="C34" i="30"/>
  <c r="A34" i="30"/>
  <c r="N33" i="30"/>
  <c r="J33" i="30"/>
  <c r="L33" i="30" s="1"/>
  <c r="F33" i="30"/>
  <c r="G33" i="30"/>
  <c r="C33" i="30"/>
  <c r="D33" i="30" s="1"/>
  <c r="A33" i="30"/>
  <c r="J32" i="30"/>
  <c r="L32" i="30" s="1"/>
  <c r="F32" i="30"/>
  <c r="G32" i="30"/>
  <c r="C32" i="30"/>
  <c r="D32" i="30" s="1"/>
  <c r="A32" i="30"/>
  <c r="J31" i="30"/>
  <c r="L31" i="30" s="1"/>
  <c r="F31" i="30"/>
  <c r="G31" i="30"/>
  <c r="C31" i="30"/>
  <c r="D31" i="30" s="1"/>
  <c r="A31" i="30"/>
  <c r="J30" i="30"/>
  <c r="L30" i="30" s="1"/>
  <c r="F30" i="30"/>
  <c r="G30" i="30"/>
  <c r="C30" i="30"/>
  <c r="D30" i="30" s="1"/>
  <c r="A30" i="30"/>
  <c r="J29" i="30"/>
  <c r="L29" i="30" s="1"/>
  <c r="F29" i="30"/>
  <c r="G29" i="30"/>
  <c r="C29" i="30"/>
  <c r="D29" i="30" s="1"/>
  <c r="A29" i="30"/>
  <c r="J28" i="30"/>
  <c r="L28" i="30" s="1"/>
  <c r="F28" i="30"/>
  <c r="G28" i="30"/>
  <c r="C28" i="30"/>
  <c r="D28" i="30" s="1"/>
  <c r="A28" i="30"/>
  <c r="J27" i="30"/>
  <c r="L27" i="30" s="1"/>
  <c r="F27" i="30"/>
  <c r="G27" i="30"/>
  <c r="C27" i="30"/>
  <c r="D27" i="30" s="1"/>
  <c r="A27" i="30"/>
  <c r="I26" i="30"/>
  <c r="L26" i="30" s="1"/>
  <c r="F26" i="30"/>
  <c r="G26" i="30"/>
  <c r="C26" i="30"/>
  <c r="D26" i="30" s="1"/>
  <c r="A26" i="30"/>
  <c r="I25" i="30"/>
  <c r="L25" i="30" s="1"/>
  <c r="F25" i="30"/>
  <c r="G25" i="30"/>
  <c r="C25" i="30"/>
  <c r="D25" i="30" s="1"/>
  <c r="A25" i="30"/>
  <c r="I24" i="30"/>
  <c r="L24" i="30" s="1"/>
  <c r="F24" i="30"/>
  <c r="G24" i="30"/>
  <c r="C24" i="30"/>
  <c r="D24" i="30" s="1"/>
  <c r="A24" i="30"/>
  <c r="I23" i="30"/>
  <c r="L23" i="30" s="1"/>
  <c r="F23" i="30"/>
  <c r="G23" i="30"/>
  <c r="C23" i="30"/>
  <c r="D23" i="30" s="1"/>
  <c r="A23" i="30"/>
  <c r="I22" i="30"/>
  <c r="L22" i="30" s="1"/>
  <c r="F22" i="30"/>
  <c r="G22" i="30"/>
  <c r="C22" i="30"/>
  <c r="D22" i="30" s="1"/>
  <c r="A22" i="30"/>
  <c r="I21" i="30"/>
  <c r="L21" i="30" s="1"/>
  <c r="F21" i="30"/>
  <c r="G21" i="30"/>
  <c r="C21" i="30"/>
  <c r="D21" i="30" s="1"/>
  <c r="A21" i="30"/>
  <c r="I20" i="30"/>
  <c r="L20" i="30" s="1"/>
  <c r="F20" i="30"/>
  <c r="G20" i="30"/>
  <c r="C20" i="30"/>
  <c r="D20" i="30" s="1"/>
  <c r="A20" i="30"/>
  <c r="I19" i="30"/>
  <c r="L19" i="30" s="1"/>
  <c r="F19" i="30"/>
  <c r="G19" i="30"/>
  <c r="C19" i="30"/>
  <c r="D19" i="30" s="1"/>
  <c r="A19" i="30"/>
  <c r="I18" i="30"/>
  <c r="L18" i="30" s="1"/>
  <c r="F18" i="30"/>
  <c r="G18" i="30"/>
  <c r="C18" i="30"/>
  <c r="D18" i="30" s="1"/>
  <c r="A18" i="30"/>
  <c r="I17" i="30"/>
  <c r="L17" i="30" s="1"/>
  <c r="F17" i="30"/>
  <c r="G17" i="30"/>
  <c r="C17" i="30"/>
  <c r="D17" i="30" s="1"/>
  <c r="A17" i="30"/>
  <c r="I16" i="30"/>
  <c r="L16" i="30" s="1"/>
  <c r="F16" i="30"/>
  <c r="G16" i="30"/>
  <c r="C16" i="30"/>
  <c r="D16" i="30" s="1"/>
  <c r="A16" i="30"/>
  <c r="I15" i="30"/>
  <c r="L15" i="30" s="1"/>
  <c r="L63" i="30" s="1"/>
  <c r="F15" i="30"/>
  <c r="G15" i="30"/>
  <c r="C15" i="30"/>
  <c r="D15" i="30" s="1"/>
  <c r="A15" i="30"/>
  <c r="G8" i="30"/>
  <c r="L5" i="30"/>
  <c r="A5" i="30"/>
  <c r="B90" i="29"/>
  <c r="B91" i="29" s="1"/>
  <c r="B89" i="29"/>
  <c r="H88" i="29"/>
  <c r="B88" i="29"/>
  <c r="B87" i="29"/>
  <c r="H87" i="29" s="1"/>
  <c r="L62" i="29"/>
  <c r="F62" i="29"/>
  <c r="G62" i="29" s="1"/>
  <c r="C62" i="29"/>
  <c r="D62" i="29" s="1"/>
  <c r="A62" i="29"/>
  <c r="L61" i="29"/>
  <c r="F61" i="29"/>
  <c r="G61" i="29" s="1"/>
  <c r="C61" i="29"/>
  <c r="D61" i="29" s="1"/>
  <c r="A61" i="29"/>
  <c r="L60" i="29"/>
  <c r="F60" i="29"/>
  <c r="G60" i="29" s="1"/>
  <c r="C60" i="29"/>
  <c r="D60" i="29" s="1"/>
  <c r="A60" i="29"/>
  <c r="L59" i="29"/>
  <c r="F59" i="29"/>
  <c r="G59" i="29" s="1"/>
  <c r="C59" i="29"/>
  <c r="D59" i="29" s="1"/>
  <c r="A59" i="29"/>
  <c r="L58" i="29"/>
  <c r="F58" i="29"/>
  <c r="G58" i="29" s="1"/>
  <c r="C58" i="29"/>
  <c r="D58" i="29" s="1"/>
  <c r="A58" i="29"/>
  <c r="G57" i="29"/>
  <c r="F57" i="29"/>
  <c r="C57" i="29"/>
  <c r="D57" i="29" s="1"/>
  <c r="A57" i="29"/>
  <c r="F56" i="29"/>
  <c r="G56" i="29"/>
  <c r="C56" i="29"/>
  <c r="D56" i="29" s="1"/>
  <c r="A56" i="29"/>
  <c r="F55" i="29"/>
  <c r="G55" i="29" s="1"/>
  <c r="C55" i="29"/>
  <c r="D55" i="29" s="1"/>
  <c r="A55" i="29"/>
  <c r="J54" i="29"/>
  <c r="L54" i="29" s="1"/>
  <c r="F54" i="29"/>
  <c r="G54" i="29"/>
  <c r="C54" i="29"/>
  <c r="D54" i="29" s="1"/>
  <c r="A54" i="29"/>
  <c r="K53" i="29"/>
  <c r="L53" i="29" s="1"/>
  <c r="F53" i="29"/>
  <c r="G53" i="29"/>
  <c r="H53" i="29" s="1"/>
  <c r="C53" i="29"/>
  <c r="D53" i="29" s="1"/>
  <c r="A53" i="29"/>
  <c r="L52" i="29"/>
  <c r="K52" i="29"/>
  <c r="F52" i="29"/>
  <c r="G52" i="29"/>
  <c r="H52" i="29" s="1"/>
  <c r="D52" i="29"/>
  <c r="C52" i="29"/>
  <c r="A52" i="29"/>
  <c r="L51" i="29"/>
  <c r="K51" i="29"/>
  <c r="F51" i="29"/>
  <c r="G51" i="29"/>
  <c r="H51" i="29" s="1"/>
  <c r="C51" i="29"/>
  <c r="D51" i="29" s="1"/>
  <c r="A51" i="29"/>
  <c r="K50" i="29"/>
  <c r="L50" i="29" s="1"/>
  <c r="F50" i="29"/>
  <c r="D50" i="29"/>
  <c r="C50" i="29"/>
  <c r="A50" i="29"/>
  <c r="L49" i="29"/>
  <c r="K49" i="29"/>
  <c r="G49" i="29"/>
  <c r="H49" i="29" s="1"/>
  <c r="F49" i="29"/>
  <c r="D49" i="29"/>
  <c r="C49" i="29"/>
  <c r="A49" i="29"/>
  <c r="K48" i="29"/>
  <c r="L48" i="29" s="1"/>
  <c r="F48" i="29"/>
  <c r="G48" i="29" s="1"/>
  <c r="H48" i="29" s="1"/>
  <c r="C48" i="29"/>
  <c r="D48" i="29" s="1"/>
  <c r="A48" i="29"/>
  <c r="K47" i="29"/>
  <c r="L47" i="29" s="1"/>
  <c r="G47" i="29"/>
  <c r="H47" i="29" s="1"/>
  <c r="F47" i="29"/>
  <c r="D47" i="29"/>
  <c r="C47" i="29"/>
  <c r="A47" i="29"/>
  <c r="L46" i="29"/>
  <c r="K46" i="29"/>
  <c r="G46" i="29"/>
  <c r="H46" i="29" s="1"/>
  <c r="F46" i="29"/>
  <c r="C46" i="29"/>
  <c r="D46" i="29" s="1"/>
  <c r="A46" i="29"/>
  <c r="K45" i="29"/>
  <c r="L45" i="29" s="1"/>
  <c r="F45" i="29"/>
  <c r="G45" i="29"/>
  <c r="H45" i="29" s="1"/>
  <c r="C45" i="29"/>
  <c r="D45" i="29" s="1"/>
  <c r="A45" i="29"/>
  <c r="L44" i="29"/>
  <c r="G44" i="29"/>
  <c r="F44" i="29"/>
  <c r="C44" i="29"/>
  <c r="D44" i="29" s="1"/>
  <c r="A44" i="29"/>
  <c r="L43" i="29"/>
  <c r="G43" i="29"/>
  <c r="F43" i="29"/>
  <c r="D43" i="29"/>
  <c r="C43" i="29"/>
  <c r="A43" i="29"/>
  <c r="N42" i="29"/>
  <c r="J42" i="29"/>
  <c r="L42" i="29" s="1"/>
  <c r="G42" i="29"/>
  <c r="F42" i="29"/>
  <c r="C42" i="29"/>
  <c r="D42" i="29" s="1"/>
  <c r="A42" i="29"/>
  <c r="N41" i="29"/>
  <c r="L41" i="29"/>
  <c r="J41" i="29"/>
  <c r="F41" i="29"/>
  <c r="G41" i="29"/>
  <c r="C41" i="29"/>
  <c r="D41" i="29" s="1"/>
  <c r="A41" i="29"/>
  <c r="N40" i="29"/>
  <c r="L40" i="29"/>
  <c r="J40" i="29"/>
  <c r="F40" i="29"/>
  <c r="G40" i="29"/>
  <c r="D40" i="29"/>
  <c r="C40" i="29"/>
  <c r="A40" i="29"/>
  <c r="N39" i="29"/>
  <c r="J39" i="29"/>
  <c r="L39" i="29" s="1"/>
  <c r="F39" i="29"/>
  <c r="G39" i="29"/>
  <c r="C39" i="29"/>
  <c r="D39" i="29" s="1"/>
  <c r="A39" i="29"/>
  <c r="N38" i="29"/>
  <c r="L38" i="29"/>
  <c r="J38" i="29"/>
  <c r="F38" i="29"/>
  <c r="G38" i="29"/>
  <c r="D38" i="29"/>
  <c r="C38" i="29"/>
  <c r="A38" i="29"/>
  <c r="N37" i="29"/>
  <c r="J37" i="29"/>
  <c r="L37" i="29" s="1"/>
  <c r="F37" i="29"/>
  <c r="G37" i="29"/>
  <c r="D37" i="29"/>
  <c r="C37" i="29"/>
  <c r="A37" i="29"/>
  <c r="N36" i="29"/>
  <c r="J36" i="29"/>
  <c r="L36" i="29" s="1"/>
  <c r="F36" i="29"/>
  <c r="C36" i="29"/>
  <c r="D36" i="29" s="1"/>
  <c r="A36" i="29"/>
  <c r="J35" i="29"/>
  <c r="L35" i="29" s="1"/>
  <c r="F35" i="29"/>
  <c r="G35" i="29"/>
  <c r="C35" i="29"/>
  <c r="D35" i="29" s="1"/>
  <c r="A35" i="29"/>
  <c r="N34" i="29"/>
  <c r="L34" i="29"/>
  <c r="J34" i="29"/>
  <c r="G34" i="29"/>
  <c r="F34" i="29"/>
  <c r="C34" i="29"/>
  <c r="D34" i="29" s="1"/>
  <c r="A34" i="29"/>
  <c r="N33" i="29"/>
  <c r="J33" i="29"/>
  <c r="L33" i="29" s="1"/>
  <c r="G33" i="29"/>
  <c r="F33" i="29"/>
  <c r="C33" i="29"/>
  <c r="D33" i="29" s="1"/>
  <c r="A33" i="29"/>
  <c r="J32" i="29"/>
  <c r="L32" i="29" s="1"/>
  <c r="G32" i="29"/>
  <c r="F32" i="29"/>
  <c r="C32" i="29"/>
  <c r="D32" i="29" s="1"/>
  <c r="A32" i="29"/>
  <c r="J31" i="29"/>
  <c r="L31" i="29" s="1"/>
  <c r="G31" i="29"/>
  <c r="F31" i="29"/>
  <c r="C31" i="29"/>
  <c r="D31" i="29" s="1"/>
  <c r="A31" i="29"/>
  <c r="J30" i="29"/>
  <c r="L30" i="29" s="1"/>
  <c r="G30" i="29"/>
  <c r="F30" i="29"/>
  <c r="C30" i="29"/>
  <c r="D30" i="29" s="1"/>
  <c r="A30" i="29"/>
  <c r="J29" i="29"/>
  <c r="L29" i="29" s="1"/>
  <c r="G29" i="29"/>
  <c r="F29" i="29"/>
  <c r="C29" i="29"/>
  <c r="D29" i="29" s="1"/>
  <c r="A29" i="29"/>
  <c r="J28" i="29"/>
  <c r="L28" i="29" s="1"/>
  <c r="G28" i="29"/>
  <c r="F28" i="29"/>
  <c r="C28" i="29"/>
  <c r="D28" i="29" s="1"/>
  <c r="A28" i="29"/>
  <c r="J27" i="29"/>
  <c r="G27" i="29"/>
  <c r="F27" i="29"/>
  <c r="C27" i="29"/>
  <c r="D27" i="29" s="1"/>
  <c r="A27" i="29"/>
  <c r="I26" i="29"/>
  <c r="L26" i="29" s="1"/>
  <c r="G26" i="29"/>
  <c r="F26" i="29"/>
  <c r="C26" i="29"/>
  <c r="D26" i="29" s="1"/>
  <c r="A26" i="29"/>
  <c r="I25" i="29"/>
  <c r="L25" i="29" s="1"/>
  <c r="G25" i="29"/>
  <c r="F25" i="29"/>
  <c r="C25" i="29"/>
  <c r="D25" i="29" s="1"/>
  <c r="A25" i="29"/>
  <c r="I24" i="29"/>
  <c r="L24" i="29" s="1"/>
  <c r="G24" i="29"/>
  <c r="F24" i="29"/>
  <c r="C24" i="29"/>
  <c r="D24" i="29" s="1"/>
  <c r="A24" i="29"/>
  <c r="I23" i="29"/>
  <c r="L23" i="29" s="1"/>
  <c r="G23" i="29"/>
  <c r="F23" i="29"/>
  <c r="C23" i="29"/>
  <c r="D23" i="29" s="1"/>
  <c r="A23" i="29"/>
  <c r="I22" i="29"/>
  <c r="L22" i="29" s="1"/>
  <c r="G22" i="29"/>
  <c r="F22" i="29"/>
  <c r="C22" i="29"/>
  <c r="D22" i="29" s="1"/>
  <c r="A22" i="29"/>
  <c r="I21" i="29"/>
  <c r="L21" i="29" s="1"/>
  <c r="G21" i="29"/>
  <c r="F21" i="29"/>
  <c r="C21" i="29"/>
  <c r="D21" i="29" s="1"/>
  <c r="A21" i="29"/>
  <c r="I20" i="29"/>
  <c r="L20" i="29" s="1"/>
  <c r="G20" i="29"/>
  <c r="F20" i="29"/>
  <c r="C20" i="29"/>
  <c r="D20" i="29" s="1"/>
  <c r="A20" i="29"/>
  <c r="I19" i="29"/>
  <c r="L19" i="29" s="1"/>
  <c r="G19" i="29"/>
  <c r="F19" i="29"/>
  <c r="C19" i="29"/>
  <c r="D19" i="29" s="1"/>
  <c r="A19" i="29"/>
  <c r="I18" i="29"/>
  <c r="L18" i="29" s="1"/>
  <c r="F18" i="29"/>
  <c r="G18" i="29"/>
  <c r="C18" i="29"/>
  <c r="D18" i="29" s="1"/>
  <c r="A18" i="29"/>
  <c r="I17" i="29"/>
  <c r="L17" i="29" s="1"/>
  <c r="F17" i="29"/>
  <c r="G17" i="29"/>
  <c r="C17" i="29"/>
  <c r="D17" i="29" s="1"/>
  <c r="A17" i="29"/>
  <c r="I16" i="29"/>
  <c r="L16" i="29" s="1"/>
  <c r="F16" i="29"/>
  <c r="G16" i="29"/>
  <c r="C16" i="29"/>
  <c r="D16" i="29" s="1"/>
  <c r="A16" i="29"/>
  <c r="I15" i="29"/>
  <c r="F15" i="29"/>
  <c r="G15" i="29"/>
  <c r="C15" i="29"/>
  <c r="D15" i="29" s="1"/>
  <c r="D63" i="29" s="1"/>
  <c r="B68" i="29" s="1"/>
  <c r="A15" i="29"/>
  <c r="G8" i="29"/>
  <c r="L5" i="29"/>
  <c r="A5" i="29"/>
  <c r="B88" i="28"/>
  <c r="B87" i="28"/>
  <c r="H87" i="28" s="1"/>
  <c r="L62" i="28"/>
  <c r="G62" i="28"/>
  <c r="F62" i="28"/>
  <c r="D62" i="28"/>
  <c r="C62" i="28"/>
  <c r="A62" i="28"/>
  <c r="L61" i="28"/>
  <c r="F61" i="28"/>
  <c r="G61" i="28" s="1"/>
  <c r="D61" i="28"/>
  <c r="C61" i="28"/>
  <c r="A61" i="28"/>
  <c r="L60" i="28"/>
  <c r="F60" i="28"/>
  <c r="G60" i="28" s="1"/>
  <c r="C60" i="28"/>
  <c r="D60" i="28" s="1"/>
  <c r="A60" i="28"/>
  <c r="L59" i="28"/>
  <c r="G59" i="28"/>
  <c r="F59" i="28"/>
  <c r="C59" i="28"/>
  <c r="D59" i="28" s="1"/>
  <c r="A59" i="28"/>
  <c r="L58" i="28"/>
  <c r="B63" i="28" s="1"/>
  <c r="G58" i="28"/>
  <c r="F58" i="28"/>
  <c r="D58" i="28"/>
  <c r="C58" i="28"/>
  <c r="A58" i="28"/>
  <c r="F57" i="28"/>
  <c r="G57" i="28"/>
  <c r="D57" i="28"/>
  <c r="C57" i="28"/>
  <c r="A57" i="28"/>
  <c r="F56" i="28"/>
  <c r="G56" i="28"/>
  <c r="C56" i="28"/>
  <c r="D56" i="28" s="1"/>
  <c r="A56" i="28"/>
  <c r="F55" i="28"/>
  <c r="G55" i="28" s="1"/>
  <c r="D55" i="28"/>
  <c r="C55" i="28"/>
  <c r="A55" i="28"/>
  <c r="J54" i="28"/>
  <c r="L54" i="28" s="1"/>
  <c r="F54" i="28"/>
  <c r="G54" i="28"/>
  <c r="D54" i="28"/>
  <c r="C54" i="28"/>
  <c r="A54" i="28"/>
  <c r="K53" i="28"/>
  <c r="L53" i="28" s="1"/>
  <c r="F53" i="28"/>
  <c r="C53" i="28"/>
  <c r="D53" i="28" s="1"/>
  <c r="A53" i="28"/>
  <c r="K52" i="28"/>
  <c r="L52" i="28" s="1"/>
  <c r="G52" i="28"/>
  <c r="H52" i="28" s="1"/>
  <c r="F52" i="28"/>
  <c r="D52" i="28"/>
  <c r="C52" i="28"/>
  <c r="A52" i="28"/>
  <c r="L51" i="28"/>
  <c r="K51" i="28"/>
  <c r="F51" i="28"/>
  <c r="G51" i="28"/>
  <c r="H51" i="28" s="1"/>
  <c r="C51" i="28"/>
  <c r="D51" i="28" s="1"/>
  <c r="A51" i="28"/>
  <c r="K50" i="28"/>
  <c r="L50" i="28" s="1"/>
  <c r="F50" i="28"/>
  <c r="G50" i="28"/>
  <c r="H50" i="28" s="1"/>
  <c r="C50" i="28"/>
  <c r="D50" i="28" s="1"/>
  <c r="A50" i="28"/>
  <c r="L49" i="28"/>
  <c r="K49" i="28"/>
  <c r="F49" i="28"/>
  <c r="G49" i="28"/>
  <c r="H49" i="28" s="1"/>
  <c r="D49" i="28"/>
  <c r="C49" i="28"/>
  <c r="A49" i="28"/>
  <c r="L48" i="28"/>
  <c r="K48" i="28"/>
  <c r="F48" i="28"/>
  <c r="G48" i="28"/>
  <c r="H48" i="28" s="1"/>
  <c r="C48" i="28"/>
  <c r="D48" i="28" s="1"/>
  <c r="A48" i="28"/>
  <c r="K47" i="28"/>
  <c r="L47" i="28" s="1"/>
  <c r="F47" i="28"/>
  <c r="G47" i="28" s="1"/>
  <c r="H47" i="28" s="1"/>
  <c r="D47" i="28"/>
  <c r="C47" i="28"/>
  <c r="A47" i="28"/>
  <c r="L46" i="28"/>
  <c r="K46" i="28"/>
  <c r="G46" i="28"/>
  <c r="H46" i="28" s="1"/>
  <c r="F46" i="28"/>
  <c r="D46" i="28"/>
  <c r="C46" i="28"/>
  <c r="A46" i="28"/>
  <c r="K45" i="28"/>
  <c r="L45" i="28" s="1"/>
  <c r="F45" i="28"/>
  <c r="C45" i="28"/>
  <c r="D45" i="28" s="1"/>
  <c r="A45" i="28"/>
  <c r="L44" i="28"/>
  <c r="F44" i="28"/>
  <c r="G44" i="28"/>
  <c r="D44" i="28"/>
  <c r="C44" i="28"/>
  <c r="A44" i="28"/>
  <c r="L43" i="28"/>
  <c r="F43" i="28"/>
  <c r="G43" i="28" s="1"/>
  <c r="D43" i="28"/>
  <c r="C43" i="28"/>
  <c r="A43" i="28"/>
  <c r="N42" i="28"/>
  <c r="J42" i="28"/>
  <c r="L42" i="28" s="1"/>
  <c r="F42" i="28"/>
  <c r="G42" i="28"/>
  <c r="D42" i="28"/>
  <c r="C42" i="28"/>
  <c r="A42" i="28"/>
  <c r="N41" i="28"/>
  <c r="J41" i="28"/>
  <c r="L41" i="28" s="1"/>
  <c r="F41" i="28"/>
  <c r="G41" i="28"/>
  <c r="C41" i="28"/>
  <c r="D41" i="28" s="1"/>
  <c r="A41" i="28"/>
  <c r="N40" i="28"/>
  <c r="L40" i="28"/>
  <c r="J40" i="28"/>
  <c r="G40" i="28"/>
  <c r="F40" i="28"/>
  <c r="D40" i="28"/>
  <c r="C40" i="28"/>
  <c r="A40" i="28"/>
  <c r="N39" i="28"/>
  <c r="J39" i="28"/>
  <c r="L39" i="28" s="1"/>
  <c r="F39" i="28"/>
  <c r="G39" i="28"/>
  <c r="C39" i="28"/>
  <c r="D39" i="28" s="1"/>
  <c r="A39" i="28"/>
  <c r="N38" i="28"/>
  <c r="L38" i="28"/>
  <c r="J38" i="28"/>
  <c r="F38" i="28"/>
  <c r="G38" i="28"/>
  <c r="C38" i="28"/>
  <c r="D38" i="28" s="1"/>
  <c r="A38" i="28"/>
  <c r="N37" i="28"/>
  <c r="L37" i="28"/>
  <c r="J37" i="28"/>
  <c r="F37" i="28"/>
  <c r="G37" i="28"/>
  <c r="D37" i="28"/>
  <c r="C37" i="28"/>
  <c r="A37" i="28"/>
  <c r="N36" i="28"/>
  <c r="J36" i="28"/>
  <c r="L36" i="28" s="1"/>
  <c r="F36" i="28"/>
  <c r="G36" i="28"/>
  <c r="C36" i="28"/>
  <c r="D36" i="28" s="1"/>
  <c r="A36" i="28"/>
  <c r="J35" i="28"/>
  <c r="L35" i="28" s="1"/>
  <c r="F35" i="28"/>
  <c r="G35" i="28"/>
  <c r="C35" i="28"/>
  <c r="D35" i="28" s="1"/>
  <c r="A35" i="28"/>
  <c r="N34" i="28"/>
  <c r="L34" i="28"/>
  <c r="J34" i="28"/>
  <c r="F34" i="28"/>
  <c r="G34" i="28" s="1"/>
  <c r="D34" i="28"/>
  <c r="C34" i="28"/>
  <c r="A34" i="28"/>
  <c r="N33" i="28"/>
  <c r="J33" i="28"/>
  <c r="L33" i="28" s="1"/>
  <c r="F33" i="28"/>
  <c r="G33" i="28"/>
  <c r="D33" i="28"/>
  <c r="C33" i="28"/>
  <c r="A33" i="28"/>
  <c r="J32" i="28"/>
  <c r="L32" i="28" s="1"/>
  <c r="F32" i="28"/>
  <c r="G32" i="28"/>
  <c r="D32" i="28"/>
  <c r="C32" i="28"/>
  <c r="A32" i="28"/>
  <c r="J31" i="28"/>
  <c r="L31" i="28" s="1"/>
  <c r="G31" i="28"/>
  <c r="F31" i="28"/>
  <c r="D31" i="28"/>
  <c r="C31" i="28"/>
  <c r="A31" i="28"/>
  <c r="J30" i="28"/>
  <c r="L30" i="28" s="1"/>
  <c r="G30" i="28"/>
  <c r="F30" i="28"/>
  <c r="D30" i="28"/>
  <c r="C30" i="28"/>
  <c r="A30" i="28"/>
  <c r="J29" i="28"/>
  <c r="L29" i="28" s="1"/>
  <c r="G29" i="28"/>
  <c r="F29" i="28"/>
  <c r="D29" i="28"/>
  <c r="C29" i="28"/>
  <c r="A29" i="28"/>
  <c r="J28" i="28"/>
  <c r="L28" i="28" s="1"/>
  <c r="G28" i="28"/>
  <c r="F28" i="28"/>
  <c r="D28" i="28"/>
  <c r="C28" i="28"/>
  <c r="A28" i="28"/>
  <c r="J27" i="28"/>
  <c r="L27" i="28" s="1"/>
  <c r="F27" i="28"/>
  <c r="G27" i="28"/>
  <c r="D27" i="28"/>
  <c r="C27" i="28"/>
  <c r="A27" i="28"/>
  <c r="I26" i="28"/>
  <c r="L26" i="28" s="1"/>
  <c r="F26" i="28"/>
  <c r="G26" i="28"/>
  <c r="D26" i="28"/>
  <c r="C26" i="28"/>
  <c r="A26" i="28"/>
  <c r="I25" i="28"/>
  <c r="L25" i="28" s="1"/>
  <c r="F25" i="28"/>
  <c r="G25" i="28"/>
  <c r="D25" i="28"/>
  <c r="C25" i="28"/>
  <c r="A25" i="28"/>
  <c r="I24" i="28"/>
  <c r="L24" i="28" s="1"/>
  <c r="F24" i="28"/>
  <c r="G24" i="28"/>
  <c r="D24" i="28"/>
  <c r="C24" i="28"/>
  <c r="A24" i="28"/>
  <c r="I23" i="28"/>
  <c r="L23" i="28" s="1"/>
  <c r="G23" i="28"/>
  <c r="F23" i="28"/>
  <c r="D23" i="28"/>
  <c r="C23" i="28"/>
  <c r="A23" i="28"/>
  <c r="I22" i="28"/>
  <c r="L22" i="28" s="1"/>
  <c r="G22" i="28"/>
  <c r="F22" i="28"/>
  <c r="D22" i="28"/>
  <c r="C22" i="28"/>
  <c r="A22" i="28"/>
  <c r="I21" i="28"/>
  <c r="L21" i="28" s="1"/>
  <c r="G21" i="28"/>
  <c r="F21" i="28"/>
  <c r="D21" i="28"/>
  <c r="C21" i="28"/>
  <c r="A21" i="28"/>
  <c r="I20" i="28"/>
  <c r="L20" i="28" s="1"/>
  <c r="G20" i="28"/>
  <c r="F20" i="28"/>
  <c r="D20" i="28"/>
  <c r="C20" i="28"/>
  <c r="A20" i="28"/>
  <c r="I19" i="28"/>
  <c r="L19" i="28" s="1"/>
  <c r="F19" i="28"/>
  <c r="G19" i="28"/>
  <c r="D19" i="28"/>
  <c r="C19" i="28"/>
  <c r="A19" i="28"/>
  <c r="I18" i="28"/>
  <c r="L18" i="28" s="1"/>
  <c r="F18" i="28"/>
  <c r="G18" i="28"/>
  <c r="D18" i="28"/>
  <c r="C18" i="28"/>
  <c r="A18" i="28"/>
  <c r="I17" i="28"/>
  <c r="L17" i="28" s="1"/>
  <c r="F17" i="28"/>
  <c r="G17" i="28"/>
  <c r="D17" i="28"/>
  <c r="C17" i="28"/>
  <c r="A17" i="28"/>
  <c r="I16" i="28"/>
  <c r="L16" i="28" s="1"/>
  <c r="F16" i="28"/>
  <c r="G16" i="28"/>
  <c r="D16" i="28"/>
  <c r="C16" i="28"/>
  <c r="A16" i="28"/>
  <c r="I15" i="28"/>
  <c r="L15" i="28" s="1"/>
  <c r="G15" i="28"/>
  <c r="F15" i="28"/>
  <c r="D15" i="28"/>
  <c r="C15" i="28"/>
  <c r="A15" i="28"/>
  <c r="G8" i="28"/>
  <c r="L5" i="28"/>
  <c r="A5" i="28"/>
  <c r="H88" i="27"/>
  <c r="B88" i="27"/>
  <c r="B89" i="27" s="1"/>
  <c r="B90" i="27" s="1"/>
  <c r="B91" i="27" s="1"/>
  <c r="B87" i="27"/>
  <c r="H87" i="27" s="1"/>
  <c r="L62" i="27"/>
  <c r="G62" i="27"/>
  <c r="F62" i="27"/>
  <c r="C62" i="27"/>
  <c r="D62" i="27" s="1"/>
  <c r="A62" i="27"/>
  <c r="L61" i="27"/>
  <c r="F61" i="27"/>
  <c r="G61" i="27" s="1"/>
  <c r="D61" i="27"/>
  <c r="C61" i="27"/>
  <c r="A61" i="27"/>
  <c r="L60" i="27"/>
  <c r="G60" i="27"/>
  <c r="F60" i="27"/>
  <c r="C60" i="27"/>
  <c r="D60" i="27" s="1"/>
  <c r="A60" i="27"/>
  <c r="L59" i="27"/>
  <c r="F59" i="27"/>
  <c r="G59" i="27" s="1"/>
  <c r="D59" i="27"/>
  <c r="C59" i="27"/>
  <c r="A59" i="27"/>
  <c r="L58" i="27"/>
  <c r="B63" i="27" s="1"/>
  <c r="G58" i="27"/>
  <c r="F58" i="27"/>
  <c r="C58" i="27"/>
  <c r="D58" i="27" s="1"/>
  <c r="A58" i="27"/>
  <c r="F57" i="27"/>
  <c r="G57" i="27"/>
  <c r="D57" i="27"/>
  <c r="C57" i="27"/>
  <c r="A57" i="27"/>
  <c r="F56" i="27"/>
  <c r="G56" i="27"/>
  <c r="C56" i="27"/>
  <c r="D56" i="27" s="1"/>
  <c r="A56" i="27"/>
  <c r="F55" i="27"/>
  <c r="G55" i="27" s="1"/>
  <c r="C55" i="27"/>
  <c r="D55" i="27" s="1"/>
  <c r="A55" i="27"/>
  <c r="J54" i="27"/>
  <c r="L54" i="27" s="1"/>
  <c r="G54" i="27"/>
  <c r="F54" i="27"/>
  <c r="C54" i="27"/>
  <c r="D54" i="27" s="1"/>
  <c r="A54" i="27"/>
  <c r="K53" i="27"/>
  <c r="L53" i="27" s="1"/>
  <c r="F53" i="27"/>
  <c r="G53" i="27"/>
  <c r="H53" i="27" s="1"/>
  <c r="D53" i="27"/>
  <c r="C53" i="27"/>
  <c r="A53" i="27"/>
  <c r="L52" i="27"/>
  <c r="K52" i="27"/>
  <c r="F52" i="27"/>
  <c r="G52" i="27"/>
  <c r="H52" i="27" s="1"/>
  <c r="D52" i="27"/>
  <c r="C52" i="27"/>
  <c r="A52" i="27"/>
  <c r="L51" i="27"/>
  <c r="K51" i="27"/>
  <c r="F51" i="27"/>
  <c r="G51" i="27"/>
  <c r="H51" i="27" s="1"/>
  <c r="C51" i="27"/>
  <c r="D51" i="27" s="1"/>
  <c r="A51" i="27"/>
  <c r="K50" i="27"/>
  <c r="L50" i="27" s="1"/>
  <c r="G50" i="27"/>
  <c r="H50" i="27" s="1"/>
  <c r="F50" i="27"/>
  <c r="D50" i="27"/>
  <c r="C50" i="27"/>
  <c r="A50" i="27"/>
  <c r="L49" i="27"/>
  <c r="K49" i="27"/>
  <c r="F49" i="27"/>
  <c r="G49" i="27"/>
  <c r="H49" i="27" s="1"/>
  <c r="D49" i="27"/>
  <c r="C49" i="27"/>
  <c r="A49" i="27"/>
  <c r="K48" i="27"/>
  <c r="L48" i="27" s="1"/>
  <c r="F48" i="27"/>
  <c r="G48" i="27"/>
  <c r="H48" i="27" s="1"/>
  <c r="C48" i="27"/>
  <c r="D48" i="27" s="1"/>
  <c r="A48" i="27"/>
  <c r="L47" i="27"/>
  <c r="K47" i="27"/>
  <c r="G47" i="27"/>
  <c r="H47" i="27" s="1"/>
  <c r="F47" i="27"/>
  <c r="D47" i="27"/>
  <c r="C47" i="27"/>
  <c r="A47" i="27"/>
  <c r="L46" i="27"/>
  <c r="K46" i="27"/>
  <c r="G46" i="27"/>
  <c r="H46" i="27" s="1"/>
  <c r="F46" i="27"/>
  <c r="C46" i="27"/>
  <c r="D46" i="27" s="1"/>
  <c r="A46" i="27"/>
  <c r="K45" i="27"/>
  <c r="L45" i="27" s="1"/>
  <c r="F45" i="27"/>
  <c r="G45" i="27"/>
  <c r="H45" i="27" s="1"/>
  <c r="D45" i="27"/>
  <c r="C45" i="27"/>
  <c r="A45" i="27"/>
  <c r="L44" i="27"/>
  <c r="G44" i="27"/>
  <c r="F44" i="27"/>
  <c r="C44" i="27"/>
  <c r="D44" i="27" s="1"/>
  <c r="A44" i="27"/>
  <c r="L43" i="27"/>
  <c r="G43" i="27"/>
  <c r="F43" i="27"/>
  <c r="D43" i="27"/>
  <c r="C43" i="27"/>
  <c r="A43" i="27"/>
  <c r="N42" i="27"/>
  <c r="J42" i="27"/>
  <c r="L42" i="27" s="1"/>
  <c r="G42" i="27"/>
  <c r="F42" i="27"/>
  <c r="C42" i="27"/>
  <c r="D42" i="27" s="1"/>
  <c r="A42" i="27"/>
  <c r="N41" i="27"/>
  <c r="L41" i="27"/>
  <c r="J41" i="27"/>
  <c r="F41" i="27"/>
  <c r="G41" i="27"/>
  <c r="D41" i="27"/>
  <c r="C41" i="27"/>
  <c r="A41" i="27"/>
  <c r="N40" i="27"/>
  <c r="L40" i="27"/>
  <c r="J40" i="27"/>
  <c r="F40" i="27"/>
  <c r="G40" i="27"/>
  <c r="D40" i="27"/>
  <c r="C40" i="27"/>
  <c r="A40" i="27"/>
  <c r="N39" i="27"/>
  <c r="J39" i="27"/>
  <c r="L39" i="27" s="1"/>
  <c r="F39" i="27"/>
  <c r="G39" i="27"/>
  <c r="C39" i="27"/>
  <c r="D39" i="27" s="1"/>
  <c r="A39" i="27"/>
  <c r="N38" i="27"/>
  <c r="L38" i="27"/>
  <c r="J38" i="27"/>
  <c r="G38" i="27"/>
  <c r="F38" i="27"/>
  <c r="D38" i="27"/>
  <c r="C38" i="27"/>
  <c r="A38" i="27"/>
  <c r="N37" i="27"/>
  <c r="J37" i="27"/>
  <c r="L37" i="27" s="1"/>
  <c r="F37" i="27"/>
  <c r="G37" i="27"/>
  <c r="D37" i="27"/>
  <c r="C37" i="27"/>
  <c r="A37" i="27"/>
  <c r="N36" i="27"/>
  <c r="L36" i="27"/>
  <c r="J36" i="27"/>
  <c r="F36" i="27"/>
  <c r="G36" i="27"/>
  <c r="C36" i="27"/>
  <c r="D36" i="27" s="1"/>
  <c r="A36" i="27"/>
  <c r="L35" i="27"/>
  <c r="J35" i="27"/>
  <c r="F35" i="27"/>
  <c r="G35" i="27"/>
  <c r="C35" i="27"/>
  <c r="D35" i="27" s="1"/>
  <c r="A35" i="27"/>
  <c r="N34" i="27"/>
  <c r="L34" i="27"/>
  <c r="J34" i="27"/>
  <c r="G34" i="27"/>
  <c r="F34" i="27"/>
  <c r="D34" i="27"/>
  <c r="C34" i="27"/>
  <c r="A34" i="27"/>
  <c r="N33" i="27"/>
  <c r="J33" i="27"/>
  <c r="L33" i="27" s="1"/>
  <c r="G33" i="27"/>
  <c r="F33" i="27"/>
  <c r="C33" i="27"/>
  <c r="D33" i="27" s="1"/>
  <c r="A33" i="27"/>
  <c r="J32" i="27"/>
  <c r="L32" i="27" s="1"/>
  <c r="G32" i="27"/>
  <c r="F32" i="27"/>
  <c r="C32" i="27"/>
  <c r="D32" i="27" s="1"/>
  <c r="A32" i="27"/>
  <c r="J31" i="27"/>
  <c r="L31" i="27" s="1"/>
  <c r="G31" i="27"/>
  <c r="F31" i="27"/>
  <c r="C31" i="27"/>
  <c r="D31" i="27" s="1"/>
  <c r="A31" i="27"/>
  <c r="J30" i="27"/>
  <c r="L30" i="27" s="1"/>
  <c r="G30" i="27"/>
  <c r="F30" i="27"/>
  <c r="C30" i="27"/>
  <c r="D30" i="27" s="1"/>
  <c r="A30" i="27"/>
  <c r="J29" i="27"/>
  <c r="L29" i="27" s="1"/>
  <c r="G29" i="27"/>
  <c r="F29" i="27"/>
  <c r="C29" i="27"/>
  <c r="D29" i="27" s="1"/>
  <c r="A29" i="27"/>
  <c r="J28" i="27"/>
  <c r="L28" i="27" s="1"/>
  <c r="G28" i="27"/>
  <c r="F28" i="27"/>
  <c r="C28" i="27"/>
  <c r="D28" i="27" s="1"/>
  <c r="A28" i="27"/>
  <c r="J27" i="27"/>
  <c r="J63" i="27" s="1"/>
  <c r="G27" i="27"/>
  <c r="F27" i="27"/>
  <c r="C27" i="27"/>
  <c r="D27" i="27" s="1"/>
  <c r="A27" i="27"/>
  <c r="I26" i="27"/>
  <c r="L26" i="27" s="1"/>
  <c r="G26" i="27"/>
  <c r="F26" i="27"/>
  <c r="C26" i="27"/>
  <c r="D26" i="27" s="1"/>
  <c r="A26" i="27"/>
  <c r="I25" i="27"/>
  <c r="L25" i="27" s="1"/>
  <c r="G25" i="27"/>
  <c r="F25" i="27"/>
  <c r="C25" i="27"/>
  <c r="D25" i="27" s="1"/>
  <c r="A25" i="27"/>
  <c r="I24" i="27"/>
  <c r="L24" i="27" s="1"/>
  <c r="G24" i="27"/>
  <c r="F24" i="27"/>
  <c r="C24" i="27"/>
  <c r="D24" i="27" s="1"/>
  <c r="A24" i="27"/>
  <c r="I23" i="27"/>
  <c r="L23" i="27" s="1"/>
  <c r="G23" i="27"/>
  <c r="F23" i="27"/>
  <c r="C23" i="27"/>
  <c r="D23" i="27" s="1"/>
  <c r="A23" i="27"/>
  <c r="I22" i="27"/>
  <c r="L22" i="27" s="1"/>
  <c r="G22" i="27"/>
  <c r="F22" i="27"/>
  <c r="C22" i="27"/>
  <c r="D22" i="27" s="1"/>
  <c r="A22" i="27"/>
  <c r="I21" i="27"/>
  <c r="L21" i="27" s="1"/>
  <c r="G21" i="27"/>
  <c r="F21" i="27"/>
  <c r="C21" i="27"/>
  <c r="D21" i="27" s="1"/>
  <c r="A21" i="27"/>
  <c r="I20" i="27"/>
  <c r="L20" i="27" s="1"/>
  <c r="G20" i="27"/>
  <c r="F20" i="27"/>
  <c r="C20" i="27"/>
  <c r="D20" i="27" s="1"/>
  <c r="A20" i="27"/>
  <c r="I19" i="27"/>
  <c r="L19" i="27" s="1"/>
  <c r="G19" i="27"/>
  <c r="F19" i="27"/>
  <c r="C19" i="27"/>
  <c r="D19" i="27" s="1"/>
  <c r="A19" i="27"/>
  <c r="I18" i="27"/>
  <c r="L18" i="27" s="1"/>
  <c r="G18" i="27"/>
  <c r="F18" i="27"/>
  <c r="C18" i="27"/>
  <c r="D18" i="27" s="1"/>
  <c r="A18" i="27"/>
  <c r="I17" i="27"/>
  <c r="L17" i="27" s="1"/>
  <c r="G17" i="27"/>
  <c r="F17" i="27"/>
  <c r="C17" i="27"/>
  <c r="D17" i="27" s="1"/>
  <c r="A17" i="27"/>
  <c r="I16" i="27"/>
  <c r="L16" i="27" s="1"/>
  <c r="G16" i="27"/>
  <c r="F16" i="27"/>
  <c r="C16" i="27"/>
  <c r="D16" i="27" s="1"/>
  <c r="A16" i="27"/>
  <c r="I15" i="27"/>
  <c r="I63" i="27" s="1"/>
  <c r="G15" i="27"/>
  <c r="F15" i="27"/>
  <c r="E63" i="27"/>
  <c r="C15" i="27"/>
  <c r="D15" i="27" s="1"/>
  <c r="A15" i="27"/>
  <c r="G8" i="27"/>
  <c r="L5" i="27"/>
  <c r="A5" i="27"/>
  <c r="F62" i="26"/>
  <c r="G62" i="26" s="1"/>
  <c r="F17" i="26"/>
  <c r="F18" i="26"/>
  <c r="F19" i="26"/>
  <c r="F20" i="26"/>
  <c r="F21" i="26"/>
  <c r="F22" i="26"/>
  <c r="F23" i="26"/>
  <c r="F24" i="26"/>
  <c r="G24" i="26" s="1"/>
  <c r="F25" i="26"/>
  <c r="F26" i="26"/>
  <c r="F27" i="26"/>
  <c r="F28" i="26"/>
  <c r="F29" i="26"/>
  <c r="F30" i="26"/>
  <c r="F31" i="26"/>
  <c r="F32" i="26"/>
  <c r="F33" i="26"/>
  <c r="F34" i="26"/>
  <c r="F35" i="26"/>
  <c r="F36" i="26"/>
  <c r="F37" i="26"/>
  <c r="F38" i="26"/>
  <c r="F39" i="26"/>
  <c r="F40" i="26"/>
  <c r="G40" i="26" s="1"/>
  <c r="F41" i="26"/>
  <c r="F42" i="26"/>
  <c r="F43" i="26"/>
  <c r="F44" i="26"/>
  <c r="F45" i="26"/>
  <c r="F46" i="26"/>
  <c r="F47" i="26"/>
  <c r="F48" i="26"/>
  <c r="F49" i="26"/>
  <c r="F50" i="26"/>
  <c r="F51" i="26"/>
  <c r="F52" i="26"/>
  <c r="F53" i="26"/>
  <c r="F54" i="26"/>
  <c r="G54" i="26" s="1"/>
  <c r="F55" i="26"/>
  <c r="G55" i="26" s="1"/>
  <c r="F56" i="26"/>
  <c r="F57" i="26"/>
  <c r="F58" i="26"/>
  <c r="F59" i="26"/>
  <c r="F60" i="26"/>
  <c r="F61" i="26"/>
  <c r="F16" i="26"/>
  <c r="F15" i="26"/>
  <c r="C62" i="26"/>
  <c r="C17" i="26"/>
  <c r="C18" i="26"/>
  <c r="C19" i="26"/>
  <c r="D19" i="26" s="1"/>
  <c r="C20" i="26"/>
  <c r="C21" i="26"/>
  <c r="C22" i="26"/>
  <c r="C23" i="26"/>
  <c r="C24" i="26"/>
  <c r="D24" i="26" s="1"/>
  <c r="C25" i="26"/>
  <c r="D25" i="26" s="1"/>
  <c r="C26" i="26"/>
  <c r="C27" i="26"/>
  <c r="D27" i="26" s="1"/>
  <c r="C28" i="26"/>
  <c r="C29" i="26"/>
  <c r="D29" i="26" s="1"/>
  <c r="C30" i="26"/>
  <c r="C31" i="26"/>
  <c r="C32" i="26"/>
  <c r="C33" i="26"/>
  <c r="D33" i="26" s="1"/>
  <c r="C34" i="26"/>
  <c r="C35" i="26"/>
  <c r="C36" i="26"/>
  <c r="C37" i="26"/>
  <c r="D37" i="26" s="1"/>
  <c r="C38" i="26"/>
  <c r="C39" i="26"/>
  <c r="C40" i="26"/>
  <c r="C41" i="26"/>
  <c r="D41" i="26" s="1"/>
  <c r="C42" i="26"/>
  <c r="C43" i="26"/>
  <c r="D43" i="26" s="1"/>
  <c r="C44" i="26"/>
  <c r="C45" i="26"/>
  <c r="C46" i="26"/>
  <c r="C47" i="26"/>
  <c r="C48" i="26"/>
  <c r="D48" i="26" s="1"/>
  <c r="C49" i="26"/>
  <c r="D49" i="26" s="1"/>
  <c r="C50" i="26"/>
  <c r="C51" i="26"/>
  <c r="C52" i="26"/>
  <c r="C53" i="26"/>
  <c r="C54" i="26"/>
  <c r="C55" i="26"/>
  <c r="C56" i="26"/>
  <c r="D56" i="26" s="1"/>
  <c r="C57" i="26"/>
  <c r="D57" i="26" s="1"/>
  <c r="C58" i="26"/>
  <c r="C59" i="26"/>
  <c r="C60" i="26"/>
  <c r="C61" i="26"/>
  <c r="D61" i="26" s="1"/>
  <c r="C16" i="26"/>
  <c r="D16" i="26" s="1"/>
  <c r="C15" i="26"/>
  <c r="D15" i="26" s="1"/>
  <c r="A17" i="26"/>
  <c r="A18" i="26"/>
  <c r="A19" i="26"/>
  <c r="A20" i="26"/>
  <c r="A21" i="26"/>
  <c r="A22" i="26"/>
  <c r="A23" i="26"/>
  <c r="A24" i="26"/>
  <c r="A25" i="26"/>
  <c r="A26" i="26"/>
  <c r="A27" i="26"/>
  <c r="A28" i="26"/>
  <c r="A29" i="26"/>
  <c r="A30" i="26"/>
  <c r="A31" i="26"/>
  <c r="A32" i="26"/>
  <c r="A33" i="26"/>
  <c r="A34"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0" i="26"/>
  <c r="A61" i="26"/>
  <c r="A62" i="26"/>
  <c r="A16" i="26"/>
  <c r="A15" i="26"/>
  <c r="B88" i="26"/>
  <c r="B89" i="26" s="1"/>
  <c r="B90" i="26" s="1"/>
  <c r="B91" i="26" s="1"/>
  <c r="B87" i="26"/>
  <c r="H87" i="26" s="1"/>
  <c r="L62" i="26"/>
  <c r="D62" i="26"/>
  <c r="L61" i="26"/>
  <c r="G61" i="26"/>
  <c r="L60" i="26"/>
  <c r="G60" i="26"/>
  <c r="D60" i="26"/>
  <c r="L59" i="26"/>
  <c r="G59" i="26"/>
  <c r="D59" i="26"/>
  <c r="L58" i="26"/>
  <c r="B63" i="26" s="1"/>
  <c r="G58" i="26"/>
  <c r="D58" i="26"/>
  <c r="G57" i="26"/>
  <c r="D55" i="26"/>
  <c r="J54" i="26"/>
  <c r="L54" i="26" s="1"/>
  <c r="D54" i="26"/>
  <c r="K53" i="26"/>
  <c r="L53" i="26" s="1"/>
  <c r="D53" i="26"/>
  <c r="K52" i="26"/>
  <c r="L52" i="26" s="1"/>
  <c r="G52" i="26"/>
  <c r="H52" i="26" s="1"/>
  <c r="D52" i="26"/>
  <c r="K51" i="26"/>
  <c r="L51" i="26" s="1"/>
  <c r="G51" i="26"/>
  <c r="H51" i="26" s="1"/>
  <c r="D51" i="26"/>
  <c r="L50" i="26"/>
  <c r="K50" i="26"/>
  <c r="G50" i="26"/>
  <c r="H50" i="26" s="1"/>
  <c r="D50" i="26"/>
  <c r="K49" i="26"/>
  <c r="L49" i="26" s="1"/>
  <c r="G49" i="26"/>
  <c r="H49" i="26" s="1"/>
  <c r="K48" i="26"/>
  <c r="L48" i="26" s="1"/>
  <c r="K47" i="26"/>
  <c r="L47" i="26" s="1"/>
  <c r="G47" i="26"/>
  <c r="H47" i="26" s="1"/>
  <c r="D47" i="26"/>
  <c r="L46" i="26"/>
  <c r="K46" i="26"/>
  <c r="G46" i="26"/>
  <c r="H46" i="26" s="1"/>
  <c r="D46" i="26"/>
  <c r="K45" i="26"/>
  <c r="K63" i="26" s="1"/>
  <c r="G45" i="26"/>
  <c r="H45" i="26" s="1"/>
  <c r="D45" i="26"/>
  <c r="L44" i="26"/>
  <c r="G44" i="26"/>
  <c r="D44" i="26"/>
  <c r="L43" i="26"/>
  <c r="G43" i="26"/>
  <c r="N42" i="26"/>
  <c r="J42" i="26"/>
  <c r="L42" i="26" s="1"/>
  <c r="G42" i="26"/>
  <c r="D42" i="26"/>
  <c r="N41" i="26"/>
  <c r="L41" i="26"/>
  <c r="J41" i="26"/>
  <c r="G41" i="26"/>
  <c r="N40" i="26"/>
  <c r="J40" i="26"/>
  <c r="L40" i="26" s="1"/>
  <c r="D40" i="26"/>
  <c r="N39" i="26"/>
  <c r="J39" i="26"/>
  <c r="L39" i="26" s="1"/>
  <c r="D39" i="26"/>
  <c r="N38" i="26"/>
  <c r="J38" i="26"/>
  <c r="L38" i="26" s="1"/>
  <c r="G38" i="26"/>
  <c r="D38" i="26"/>
  <c r="N37" i="26"/>
  <c r="L37" i="26"/>
  <c r="J37" i="26"/>
  <c r="N36" i="26"/>
  <c r="J36" i="26"/>
  <c r="L36" i="26" s="1"/>
  <c r="G36" i="26"/>
  <c r="D36" i="26"/>
  <c r="J35" i="26"/>
  <c r="L35" i="26" s="1"/>
  <c r="G35" i="26"/>
  <c r="D35" i="26"/>
  <c r="N34" i="26"/>
  <c r="L34" i="26"/>
  <c r="J34" i="26"/>
  <c r="G34" i="26"/>
  <c r="D34" i="26"/>
  <c r="N33" i="26"/>
  <c r="J33" i="26"/>
  <c r="L33" i="26" s="1"/>
  <c r="G33" i="26"/>
  <c r="J32" i="26"/>
  <c r="L32" i="26" s="1"/>
  <c r="D32" i="26"/>
  <c r="L31" i="26"/>
  <c r="J31" i="26"/>
  <c r="D31" i="26"/>
  <c r="J30" i="26"/>
  <c r="L30" i="26" s="1"/>
  <c r="G30" i="26"/>
  <c r="D30" i="26"/>
  <c r="J29" i="26"/>
  <c r="L29" i="26" s="1"/>
  <c r="G29" i="26"/>
  <c r="L28" i="26"/>
  <c r="J28" i="26"/>
  <c r="G28" i="26"/>
  <c r="D28" i="26"/>
  <c r="L27" i="26"/>
  <c r="J27" i="26"/>
  <c r="J63" i="26" s="1"/>
  <c r="G27" i="26"/>
  <c r="I26" i="26"/>
  <c r="L26" i="26" s="1"/>
  <c r="G26" i="26"/>
  <c r="D26" i="26"/>
  <c r="L25" i="26"/>
  <c r="I25" i="26"/>
  <c r="G25" i="26"/>
  <c r="I24" i="26"/>
  <c r="L24" i="26" s="1"/>
  <c r="I23" i="26"/>
  <c r="L23" i="26" s="1"/>
  <c r="G23" i="26"/>
  <c r="D23" i="26"/>
  <c r="I22" i="26"/>
  <c r="L22" i="26" s="1"/>
  <c r="G22" i="26"/>
  <c r="D22" i="26"/>
  <c r="I21" i="26"/>
  <c r="L21" i="26" s="1"/>
  <c r="G21" i="26"/>
  <c r="D21" i="26"/>
  <c r="I20" i="26"/>
  <c r="L20" i="26" s="1"/>
  <c r="G20" i="26"/>
  <c r="D20" i="26"/>
  <c r="L19" i="26"/>
  <c r="I19" i="26"/>
  <c r="G19" i="26"/>
  <c r="I18" i="26"/>
  <c r="L18" i="26" s="1"/>
  <c r="G18" i="26"/>
  <c r="D18" i="26"/>
  <c r="I17" i="26"/>
  <c r="L17" i="26" s="1"/>
  <c r="G17" i="26"/>
  <c r="D17" i="26"/>
  <c r="I16" i="26"/>
  <c r="L16" i="26" s="1"/>
  <c r="L15" i="26"/>
  <c r="I15" i="26"/>
  <c r="I63" i="26" s="1"/>
  <c r="G8" i="26"/>
  <c r="L5" i="26"/>
  <c r="A5" i="26"/>
  <c r="D94" i="30" l="1"/>
  <c r="K65" i="30"/>
  <c r="N9" i="30"/>
  <c r="L9" i="30"/>
  <c r="H94" i="30"/>
  <c r="H63" i="30"/>
  <c r="B70" i="30" s="1"/>
  <c r="D63" i="30"/>
  <c r="B68" i="30" s="1"/>
  <c r="D63" i="31"/>
  <c r="B68" i="31" s="1"/>
  <c r="L63" i="32"/>
  <c r="B89" i="31"/>
  <c r="B90" i="31" s="1"/>
  <c r="B91" i="31" s="1"/>
  <c r="D63" i="32"/>
  <c r="B68" i="32" s="1"/>
  <c r="I63" i="30"/>
  <c r="E63" i="31"/>
  <c r="G40" i="30"/>
  <c r="G63" i="30" s="1"/>
  <c r="K63" i="30"/>
  <c r="G30" i="31"/>
  <c r="G42" i="31"/>
  <c r="G46" i="31"/>
  <c r="H46" i="31" s="1"/>
  <c r="H63" i="31" s="1"/>
  <c r="B70" i="31" s="1"/>
  <c r="I63" i="32"/>
  <c r="J63" i="32"/>
  <c r="G37" i="32"/>
  <c r="G63" i="32" s="1"/>
  <c r="G15" i="31"/>
  <c r="L27" i="31"/>
  <c r="J63" i="31"/>
  <c r="H63" i="32"/>
  <c r="B70" i="32" s="1"/>
  <c r="G57" i="32"/>
  <c r="I63" i="31"/>
  <c r="L63" i="31"/>
  <c r="G32" i="31"/>
  <c r="K63" i="31"/>
  <c r="H88" i="31"/>
  <c r="E63" i="32"/>
  <c r="K63" i="29"/>
  <c r="L63" i="28"/>
  <c r="I63" i="29"/>
  <c r="L15" i="29"/>
  <c r="L63" i="29" s="1"/>
  <c r="G53" i="28"/>
  <c r="H53" i="28" s="1"/>
  <c r="G36" i="29"/>
  <c r="D63" i="28"/>
  <c r="B68" i="28" s="1"/>
  <c r="G50" i="29"/>
  <c r="H50" i="29" s="1"/>
  <c r="H63" i="29" s="1"/>
  <c r="B70" i="29" s="1"/>
  <c r="E63" i="28"/>
  <c r="J63" i="28"/>
  <c r="B89" i="28"/>
  <c r="B90" i="28" s="1"/>
  <c r="B91" i="28" s="1"/>
  <c r="H88" i="28"/>
  <c r="J63" i="29"/>
  <c r="L27" i="29"/>
  <c r="B63" i="29"/>
  <c r="G45" i="28"/>
  <c r="H45" i="28" s="1"/>
  <c r="I63" i="28"/>
  <c r="K63" i="28"/>
  <c r="E63" i="29"/>
  <c r="H63" i="27"/>
  <c r="B70" i="27" s="1"/>
  <c r="D63" i="27"/>
  <c r="B68" i="27" s="1"/>
  <c r="G63" i="27"/>
  <c r="C32" i="1" s="1"/>
  <c r="K63" i="27"/>
  <c r="L15" i="27"/>
  <c r="L27" i="27"/>
  <c r="G32" i="26"/>
  <c r="G31" i="26"/>
  <c r="G37" i="26"/>
  <c r="G39" i="26"/>
  <c r="G48" i="26"/>
  <c r="H48" i="26" s="1"/>
  <c r="G53" i="26"/>
  <c r="H53" i="26" s="1"/>
  <c r="G56" i="26"/>
  <c r="G16" i="26"/>
  <c r="G15" i="26"/>
  <c r="D63" i="26"/>
  <c r="B68" i="26" s="1"/>
  <c r="L45" i="26"/>
  <c r="L63" i="26" s="1"/>
  <c r="H88" i="26"/>
  <c r="E63" i="26"/>
  <c r="G63" i="29" l="1"/>
  <c r="C34" i="1" s="1"/>
  <c r="B69" i="32"/>
  <c r="B71" i="32" s="1"/>
  <c r="C37" i="1"/>
  <c r="B69" i="30"/>
  <c r="B71" i="30" s="1"/>
  <c r="C35" i="1"/>
  <c r="H63" i="26"/>
  <c r="B70" i="26" s="1"/>
  <c r="G63" i="26"/>
  <c r="C31" i="1" s="1"/>
  <c r="K65" i="31"/>
  <c r="N9" i="31"/>
  <c r="H94" i="31"/>
  <c r="D94" i="31"/>
  <c r="L9" i="31"/>
  <c r="G63" i="31"/>
  <c r="H94" i="32"/>
  <c r="D94" i="32"/>
  <c r="K65" i="32"/>
  <c r="L9" i="32"/>
  <c r="N9" i="32"/>
  <c r="H94" i="29"/>
  <c r="D94" i="29"/>
  <c r="N9" i="29"/>
  <c r="L9" i="29"/>
  <c r="K65" i="29"/>
  <c r="K65" i="28"/>
  <c r="N9" i="28"/>
  <c r="L9" i="28"/>
  <c r="D94" i="28"/>
  <c r="H94" i="28"/>
  <c r="G63" i="28"/>
  <c r="H63" i="28"/>
  <c r="B70" i="28" s="1"/>
  <c r="L63" i="27"/>
  <c r="B69" i="27"/>
  <c r="B71" i="27" s="1"/>
  <c r="H94" i="26"/>
  <c r="D94" i="26"/>
  <c r="L9" i="26"/>
  <c r="N9" i="26"/>
  <c r="K65" i="26"/>
  <c r="E26" i="2"/>
  <c r="E25" i="2"/>
  <c r="E24" i="2"/>
  <c r="E23" i="2"/>
  <c r="E22" i="2"/>
  <c r="E21" i="2"/>
  <c r="E20" i="2"/>
  <c r="E19" i="2"/>
  <c r="E18" i="2"/>
  <c r="E17" i="2"/>
  <c r="E16" i="2"/>
  <c r="E15" i="2"/>
  <c r="B69" i="29" l="1"/>
  <c r="B71" i="29" s="1"/>
  <c r="H78" i="29" s="1"/>
  <c r="H76" i="29" s="1"/>
  <c r="H77" i="29" s="1"/>
  <c r="B69" i="31"/>
  <c r="B71" i="31" s="1"/>
  <c r="I84" i="31" s="1"/>
  <c r="I82" i="31" s="1"/>
  <c r="I83" i="31" s="1"/>
  <c r="C36" i="1"/>
  <c r="B69" i="28"/>
  <c r="B71" i="28" s="1"/>
  <c r="C78" i="28" s="1"/>
  <c r="C76" i="28" s="1"/>
  <c r="C77" i="28" s="1"/>
  <c r="C33" i="1"/>
  <c r="B69" i="26"/>
  <c r="B71" i="26" s="1"/>
  <c r="G78" i="26" s="1"/>
  <c r="G76" i="26" s="1"/>
  <c r="G77" i="26" s="1"/>
  <c r="E84" i="32"/>
  <c r="E82" i="32" s="1"/>
  <c r="E83" i="32" s="1"/>
  <c r="H78" i="32"/>
  <c r="H76" i="32" s="1"/>
  <c r="H77" i="32" s="1"/>
  <c r="N8" i="32"/>
  <c r="D84" i="32"/>
  <c r="D82" i="32" s="1"/>
  <c r="D83" i="32" s="1"/>
  <c r="G78" i="32"/>
  <c r="G76" i="32" s="1"/>
  <c r="G77" i="32" s="1"/>
  <c r="L8" i="32"/>
  <c r="H93" i="32"/>
  <c r="C84" i="32"/>
  <c r="C82" i="32" s="1"/>
  <c r="C83" i="32" s="1"/>
  <c r="F78" i="32"/>
  <c r="F76" i="32" s="1"/>
  <c r="F77" i="32" s="1"/>
  <c r="D93" i="32"/>
  <c r="J84" i="32"/>
  <c r="J82" i="32" s="1"/>
  <c r="J83" i="32" s="1"/>
  <c r="B84" i="32"/>
  <c r="B82" i="32" s="1"/>
  <c r="B83" i="32" s="1"/>
  <c r="E78" i="32"/>
  <c r="E76" i="32" s="1"/>
  <c r="E77" i="32" s="1"/>
  <c r="I84" i="32"/>
  <c r="I82" i="32" s="1"/>
  <c r="I83" i="32" s="1"/>
  <c r="D78" i="32"/>
  <c r="D76" i="32" s="1"/>
  <c r="D77" i="32" s="1"/>
  <c r="H84" i="32"/>
  <c r="H82" i="32" s="1"/>
  <c r="H83" i="32" s="1"/>
  <c r="C78" i="32"/>
  <c r="C76" i="32" s="1"/>
  <c r="C77" i="32" s="1"/>
  <c r="J78" i="32"/>
  <c r="J76" i="32" s="1"/>
  <c r="J77" i="32" s="1"/>
  <c r="I78" i="32"/>
  <c r="I76" i="32" s="1"/>
  <c r="I77" i="32" s="1"/>
  <c r="G84" i="32"/>
  <c r="G82" i="32" s="1"/>
  <c r="G83" i="32" s="1"/>
  <c r="B78" i="32"/>
  <c r="B76" i="32" s="1"/>
  <c r="B77" i="32" s="1"/>
  <c r="F84" i="32"/>
  <c r="F82" i="32" s="1"/>
  <c r="F83" i="32" s="1"/>
  <c r="H84" i="30"/>
  <c r="H82" i="30" s="1"/>
  <c r="H83" i="30" s="1"/>
  <c r="C78" i="30"/>
  <c r="C76" i="30" s="1"/>
  <c r="C77" i="30" s="1"/>
  <c r="G84" i="30"/>
  <c r="G82" i="30" s="1"/>
  <c r="G83" i="30" s="1"/>
  <c r="J78" i="30"/>
  <c r="J76" i="30" s="1"/>
  <c r="J77" i="30" s="1"/>
  <c r="B78" i="30"/>
  <c r="B76" i="30" s="1"/>
  <c r="B77" i="30" s="1"/>
  <c r="I84" i="30"/>
  <c r="I82" i="30" s="1"/>
  <c r="I83" i="30" s="1"/>
  <c r="F84" i="30"/>
  <c r="F82" i="30" s="1"/>
  <c r="F83" i="30" s="1"/>
  <c r="I78" i="30"/>
  <c r="I76" i="30" s="1"/>
  <c r="I77" i="30" s="1"/>
  <c r="E84" i="30"/>
  <c r="E82" i="30" s="1"/>
  <c r="E83" i="30" s="1"/>
  <c r="H78" i="30"/>
  <c r="H76" i="30" s="1"/>
  <c r="H77" i="30" s="1"/>
  <c r="N8" i="30"/>
  <c r="D93" i="30"/>
  <c r="D84" i="30"/>
  <c r="D82" i="30" s="1"/>
  <c r="D83" i="30" s="1"/>
  <c r="G78" i="30"/>
  <c r="G76" i="30" s="1"/>
  <c r="G77" i="30" s="1"/>
  <c r="L8" i="30"/>
  <c r="C84" i="30"/>
  <c r="C82" i="30" s="1"/>
  <c r="C83" i="30" s="1"/>
  <c r="F78" i="30"/>
  <c r="F76" i="30" s="1"/>
  <c r="F77" i="30" s="1"/>
  <c r="H93" i="30"/>
  <c r="J84" i="30"/>
  <c r="J82" i="30" s="1"/>
  <c r="J83" i="30" s="1"/>
  <c r="B84" i="30"/>
  <c r="B82" i="30" s="1"/>
  <c r="B83" i="30" s="1"/>
  <c r="E78" i="30"/>
  <c r="E76" i="30" s="1"/>
  <c r="E77" i="30" s="1"/>
  <c r="D78" i="30"/>
  <c r="D76" i="30" s="1"/>
  <c r="D77" i="30" s="1"/>
  <c r="G78" i="28"/>
  <c r="G76" i="28" s="1"/>
  <c r="G77" i="28" s="1"/>
  <c r="I84" i="29"/>
  <c r="I82" i="29" s="1"/>
  <c r="I83" i="29" s="1"/>
  <c r="D78" i="29"/>
  <c r="D76" i="29" s="1"/>
  <c r="D77" i="29" s="1"/>
  <c r="H94" i="27"/>
  <c r="D94" i="27"/>
  <c r="K65" i="27"/>
  <c r="L9" i="27"/>
  <c r="N9" i="27"/>
  <c r="E84" i="27"/>
  <c r="E82" i="27" s="1"/>
  <c r="E83" i="27" s="1"/>
  <c r="H78" i="27"/>
  <c r="H76" i="27" s="1"/>
  <c r="H77" i="27" s="1"/>
  <c r="N8" i="27"/>
  <c r="D84" i="27"/>
  <c r="D82" i="27" s="1"/>
  <c r="D83" i="27" s="1"/>
  <c r="G78" i="27"/>
  <c r="G76" i="27" s="1"/>
  <c r="G77" i="27" s="1"/>
  <c r="L8" i="27"/>
  <c r="H93" i="27"/>
  <c r="C84" i="27"/>
  <c r="C82" i="27" s="1"/>
  <c r="C83" i="27" s="1"/>
  <c r="F78" i="27"/>
  <c r="F76" i="27" s="1"/>
  <c r="F77" i="27" s="1"/>
  <c r="D93" i="27"/>
  <c r="J84" i="27"/>
  <c r="J82" i="27" s="1"/>
  <c r="J83" i="27" s="1"/>
  <c r="B84" i="27"/>
  <c r="B82" i="27" s="1"/>
  <c r="B83" i="27" s="1"/>
  <c r="E78" i="27"/>
  <c r="E76" i="27" s="1"/>
  <c r="E77" i="27" s="1"/>
  <c r="I84" i="27"/>
  <c r="I82" i="27" s="1"/>
  <c r="I83" i="27" s="1"/>
  <c r="D78" i="27"/>
  <c r="D76" i="27" s="1"/>
  <c r="D77" i="27" s="1"/>
  <c r="H84" i="27"/>
  <c r="H82" i="27" s="1"/>
  <c r="H83" i="27" s="1"/>
  <c r="C78" i="27"/>
  <c r="C76" i="27" s="1"/>
  <c r="C77" i="27" s="1"/>
  <c r="F84" i="27"/>
  <c r="F82" i="27" s="1"/>
  <c r="F83" i="27" s="1"/>
  <c r="G84" i="27"/>
  <c r="G82" i="27" s="1"/>
  <c r="G83" i="27" s="1"/>
  <c r="J78" i="27"/>
  <c r="J76" i="27" s="1"/>
  <c r="J77" i="27" s="1"/>
  <c r="B78" i="27"/>
  <c r="B76" i="27" s="1"/>
  <c r="B77" i="27" s="1"/>
  <c r="I78" i="27"/>
  <c r="I76" i="27" s="1"/>
  <c r="I77" i="27" s="1"/>
  <c r="L54" i="2"/>
  <c r="D93" i="29" l="1"/>
  <c r="E84" i="29"/>
  <c r="E82" i="29" s="1"/>
  <c r="E83" i="29" s="1"/>
  <c r="H78" i="28"/>
  <c r="H76" i="28" s="1"/>
  <c r="H77" i="28" s="1"/>
  <c r="I78" i="29"/>
  <c r="I76" i="29" s="1"/>
  <c r="I77" i="29" s="1"/>
  <c r="D78" i="28"/>
  <c r="D76" i="28" s="1"/>
  <c r="D77" i="28" s="1"/>
  <c r="B78" i="29"/>
  <c r="B76" i="29" s="1"/>
  <c r="B77" i="29" s="1"/>
  <c r="J78" i="28"/>
  <c r="J76" i="28" s="1"/>
  <c r="J77" i="28" s="1"/>
  <c r="D84" i="28"/>
  <c r="D82" i="28" s="1"/>
  <c r="D83" i="28" s="1"/>
  <c r="H84" i="28"/>
  <c r="H82" i="28" s="1"/>
  <c r="H83" i="28" s="1"/>
  <c r="J84" i="28"/>
  <c r="J82" i="28" s="1"/>
  <c r="J83" i="28" s="1"/>
  <c r="C84" i="28"/>
  <c r="C82" i="28" s="1"/>
  <c r="C83" i="28" s="1"/>
  <c r="C84" i="29"/>
  <c r="C82" i="29" s="1"/>
  <c r="C83" i="29" s="1"/>
  <c r="H93" i="29"/>
  <c r="D84" i="29"/>
  <c r="D82" i="29" s="1"/>
  <c r="D83" i="29" s="1"/>
  <c r="E78" i="29"/>
  <c r="E76" i="29" s="1"/>
  <c r="E77" i="29" s="1"/>
  <c r="H84" i="29"/>
  <c r="H82" i="29" s="1"/>
  <c r="H83" i="29" s="1"/>
  <c r="E84" i="28"/>
  <c r="E82" i="28" s="1"/>
  <c r="E83" i="28" s="1"/>
  <c r="I78" i="28"/>
  <c r="I76" i="28" s="1"/>
  <c r="I77" i="28" s="1"/>
  <c r="I84" i="28"/>
  <c r="I82" i="28" s="1"/>
  <c r="I83" i="28" s="1"/>
  <c r="F84" i="29"/>
  <c r="F82" i="29" s="1"/>
  <c r="F83" i="29" s="1"/>
  <c r="B84" i="29"/>
  <c r="B82" i="29" s="1"/>
  <c r="B83" i="29" s="1"/>
  <c r="L8" i="29"/>
  <c r="N8" i="28"/>
  <c r="F84" i="28"/>
  <c r="F82" i="28" s="1"/>
  <c r="F83" i="28" s="1"/>
  <c r="E78" i="28"/>
  <c r="E76" i="28" s="1"/>
  <c r="E77" i="28" s="1"/>
  <c r="J84" i="29"/>
  <c r="J82" i="29" s="1"/>
  <c r="J83" i="29" s="1"/>
  <c r="G78" i="29"/>
  <c r="G76" i="29" s="1"/>
  <c r="G77" i="29" s="1"/>
  <c r="F78" i="28"/>
  <c r="F76" i="28" s="1"/>
  <c r="F77" i="28" s="1"/>
  <c r="B78" i="28"/>
  <c r="B76" i="28" s="1"/>
  <c r="B77" i="28" s="1"/>
  <c r="B84" i="28"/>
  <c r="B82" i="28" s="1"/>
  <c r="B83" i="28" s="1"/>
  <c r="J78" i="29"/>
  <c r="J76" i="29" s="1"/>
  <c r="J77" i="29" s="1"/>
  <c r="C78" i="29"/>
  <c r="C76" i="29" s="1"/>
  <c r="C77" i="29" s="1"/>
  <c r="N8" i="29"/>
  <c r="H93" i="28"/>
  <c r="G84" i="28"/>
  <c r="G82" i="28" s="1"/>
  <c r="G83" i="28" s="1"/>
  <c r="D93" i="28"/>
  <c r="G84" i="29"/>
  <c r="G82" i="29" s="1"/>
  <c r="G83" i="29" s="1"/>
  <c r="F78" i="29"/>
  <c r="F76" i="29" s="1"/>
  <c r="F77" i="29" s="1"/>
  <c r="L8" i="28"/>
  <c r="G78" i="31"/>
  <c r="G76" i="31" s="1"/>
  <c r="G77" i="31" s="1"/>
  <c r="L8" i="31"/>
  <c r="B78" i="31"/>
  <c r="B76" i="31" s="1"/>
  <c r="B77" i="31" s="1"/>
  <c r="B84" i="31"/>
  <c r="B82" i="31" s="1"/>
  <c r="B83" i="31" s="1"/>
  <c r="D84" i="31"/>
  <c r="D82" i="31" s="1"/>
  <c r="D83" i="31" s="1"/>
  <c r="J78" i="31"/>
  <c r="J76" i="31" s="1"/>
  <c r="J77" i="31" s="1"/>
  <c r="J84" i="31"/>
  <c r="J82" i="31" s="1"/>
  <c r="J83" i="31" s="1"/>
  <c r="E78" i="31"/>
  <c r="E76" i="31" s="1"/>
  <c r="E77" i="31" s="1"/>
  <c r="N8" i="31"/>
  <c r="G84" i="31"/>
  <c r="G82" i="31" s="1"/>
  <c r="G83" i="31" s="1"/>
  <c r="D93" i="31"/>
  <c r="F78" i="31"/>
  <c r="F76" i="31" s="1"/>
  <c r="F77" i="31" s="1"/>
  <c r="C78" i="31"/>
  <c r="C76" i="31" s="1"/>
  <c r="C77" i="31" s="1"/>
  <c r="H78" i="31"/>
  <c r="H76" i="31" s="1"/>
  <c r="H77" i="31" s="1"/>
  <c r="H93" i="31"/>
  <c r="E84" i="31"/>
  <c r="E82" i="31" s="1"/>
  <c r="E83" i="31" s="1"/>
  <c r="D78" i="31"/>
  <c r="D76" i="31" s="1"/>
  <c r="D77" i="31" s="1"/>
  <c r="F84" i="31"/>
  <c r="F82" i="31" s="1"/>
  <c r="F83" i="31" s="1"/>
  <c r="H84" i="31"/>
  <c r="H82" i="31" s="1"/>
  <c r="H83" i="31" s="1"/>
  <c r="C84" i="31"/>
  <c r="C82" i="31" s="1"/>
  <c r="C83" i="31" s="1"/>
  <c r="I78" i="31"/>
  <c r="I76" i="31" s="1"/>
  <c r="I77" i="31" s="1"/>
  <c r="D78" i="26"/>
  <c r="D76" i="26" s="1"/>
  <c r="D77" i="26" s="1"/>
  <c r="D84" i="26"/>
  <c r="D82" i="26" s="1"/>
  <c r="D83" i="26" s="1"/>
  <c r="C84" i="26"/>
  <c r="C82" i="26" s="1"/>
  <c r="C83" i="26" s="1"/>
  <c r="E84" i="26"/>
  <c r="E82" i="26" s="1"/>
  <c r="E83" i="26" s="1"/>
  <c r="B78" i="26"/>
  <c r="B76" i="26" s="1"/>
  <c r="B77" i="26" s="1"/>
  <c r="G84" i="26"/>
  <c r="G82" i="26" s="1"/>
  <c r="G83" i="26" s="1"/>
  <c r="F78" i="26"/>
  <c r="F76" i="26" s="1"/>
  <c r="F77" i="26" s="1"/>
  <c r="N8" i="26"/>
  <c r="L8" i="26"/>
  <c r="I84" i="26"/>
  <c r="I82" i="26" s="1"/>
  <c r="I83" i="26" s="1"/>
  <c r="B84" i="26"/>
  <c r="B82" i="26" s="1"/>
  <c r="B83" i="26" s="1"/>
  <c r="D93" i="26"/>
  <c r="H84" i="26"/>
  <c r="H82" i="26" s="1"/>
  <c r="H83" i="26" s="1"/>
  <c r="H78" i="26"/>
  <c r="H76" i="26" s="1"/>
  <c r="H77" i="26" s="1"/>
  <c r="E78" i="26"/>
  <c r="E76" i="26" s="1"/>
  <c r="E77" i="26" s="1"/>
  <c r="I78" i="26"/>
  <c r="I76" i="26" s="1"/>
  <c r="I77" i="26" s="1"/>
  <c r="F84" i="26"/>
  <c r="F82" i="26" s="1"/>
  <c r="F83" i="26" s="1"/>
  <c r="H93" i="26"/>
  <c r="J84" i="26"/>
  <c r="J82" i="26" s="1"/>
  <c r="J83" i="26" s="1"/>
  <c r="J78" i="26"/>
  <c r="J76" i="26" s="1"/>
  <c r="J77" i="26" s="1"/>
  <c r="C78" i="26"/>
  <c r="C76" i="26" s="1"/>
  <c r="C77" i="26" s="1"/>
  <c r="G57" i="2"/>
  <c r="D57" i="2"/>
  <c r="K51" i="2" l="1"/>
  <c r="L51" i="2" s="1"/>
  <c r="G51" i="2"/>
  <c r="H51" i="2" s="1"/>
  <c r="D51" i="2"/>
  <c r="K50" i="2"/>
  <c r="L50" i="2" s="1"/>
  <c r="G50" i="2"/>
  <c r="H50" i="2" s="1"/>
  <c r="D50" i="2"/>
  <c r="K49" i="2"/>
  <c r="L49" i="2" s="1"/>
  <c r="G49" i="2"/>
  <c r="H49" i="2" s="1"/>
  <c r="D49" i="2"/>
  <c r="K48" i="2"/>
  <c r="L48" i="2" s="1"/>
  <c r="G48" i="2"/>
  <c r="H48" i="2" s="1"/>
  <c r="D48" i="2"/>
  <c r="K47" i="2"/>
  <c r="L47" i="2" s="1"/>
  <c r="G47" i="2"/>
  <c r="H47" i="2" s="1"/>
  <c r="D47" i="2"/>
  <c r="K46" i="2"/>
  <c r="L46" i="2" s="1"/>
  <c r="G46" i="2"/>
  <c r="H46" i="2" s="1"/>
  <c r="D46" i="2"/>
  <c r="F24" i="2" l="1"/>
  <c r="F25" i="2"/>
  <c r="F26" i="2"/>
  <c r="F23" i="2"/>
  <c r="L62" i="2" l="1"/>
  <c r="I23" i="2" l="1"/>
  <c r="L23" i="2" s="1"/>
  <c r="I24" i="2"/>
  <c r="L24" i="2" s="1"/>
  <c r="I25" i="2"/>
  <c r="L25" i="2" s="1"/>
  <c r="I26" i="2"/>
  <c r="L26" i="2" s="1"/>
  <c r="D23" i="2" l="1"/>
  <c r="G23" i="2"/>
  <c r="G24" i="2"/>
  <c r="G25" i="2"/>
  <c r="G26" i="2"/>
  <c r="D24" i="2"/>
  <c r="D25" i="2"/>
  <c r="D26" i="2"/>
  <c r="D14" i="10" l="1"/>
  <c r="C14" i="10"/>
  <c r="B14" i="10"/>
  <c r="B15" i="10"/>
  <c r="B16" i="10"/>
  <c r="B17" i="10"/>
  <c r="B13" i="10"/>
  <c r="Y5" i="10"/>
  <c r="X5" i="10"/>
  <c r="W5" i="10"/>
  <c r="V5" i="10"/>
  <c r="E19" i="1" l="1"/>
  <c r="E18" i="1"/>
  <c r="D58" i="2" l="1"/>
  <c r="D15" i="2"/>
  <c r="D16" i="2"/>
  <c r="D17" i="2"/>
  <c r="D18" i="2"/>
  <c r="D19" i="2"/>
  <c r="D20" i="2"/>
  <c r="D21" i="2"/>
  <c r="D22" i="2"/>
  <c r="D27" i="2"/>
  <c r="D28" i="2"/>
  <c r="D29" i="2"/>
  <c r="D30" i="2"/>
  <c r="D31" i="2"/>
  <c r="D32" i="2"/>
  <c r="D33" i="2"/>
  <c r="D34" i="2"/>
  <c r="D35" i="2"/>
  <c r="D36" i="2"/>
  <c r="D37" i="2"/>
  <c r="D38" i="2"/>
  <c r="D39" i="2"/>
  <c r="D40" i="2"/>
  <c r="D41" i="2"/>
  <c r="D42" i="2"/>
  <c r="D43" i="2"/>
  <c r="D44" i="2"/>
  <c r="D45" i="2"/>
  <c r="D52" i="2"/>
  <c r="D53" i="2"/>
  <c r="D54" i="2"/>
  <c r="D55" i="2"/>
  <c r="D59" i="2"/>
  <c r="D60" i="2"/>
  <c r="D61" i="2"/>
  <c r="D62" i="2"/>
  <c r="G15" i="2" l="1"/>
  <c r="N36" i="2" l="1"/>
  <c r="N34" i="2"/>
  <c r="N33" i="2"/>
  <c r="F29" i="10" l="1"/>
  <c r="F30" i="10"/>
  <c r="H30" i="10" s="1"/>
  <c r="F36" i="1"/>
  <c r="F37" i="1" s="1"/>
  <c r="G30" i="10" l="1"/>
  <c r="G8" i="2"/>
  <c r="B88" i="2" l="1"/>
  <c r="H88" i="2" s="1"/>
  <c r="B87" i="2"/>
  <c r="H87" i="2" s="1"/>
  <c r="J42" i="2"/>
  <c r="L42" i="2" s="1"/>
  <c r="J40" i="2"/>
  <c r="L40" i="2" s="1"/>
  <c r="J33" i="2"/>
  <c r="L33" i="2" s="1"/>
  <c r="J34" i="2"/>
  <c r="L34" i="2" s="1"/>
  <c r="J35" i="2"/>
  <c r="L35" i="2" s="1"/>
  <c r="J36" i="2"/>
  <c r="L36" i="2" s="1"/>
  <c r="J37" i="2"/>
  <c r="L37" i="2" s="1"/>
  <c r="J38" i="2"/>
  <c r="L38" i="2" s="1"/>
  <c r="J32" i="2"/>
  <c r="L32" i="2" s="1"/>
  <c r="J29" i="2"/>
  <c r="L29" i="2" s="1"/>
  <c r="J30" i="2"/>
  <c r="L30" i="2" s="1"/>
  <c r="J28" i="2"/>
  <c r="L28" i="2" s="1"/>
  <c r="L61" i="2"/>
  <c r="L60" i="2"/>
  <c r="L59" i="2"/>
  <c r="L58" i="2"/>
  <c r="L44" i="2"/>
  <c r="L43" i="2"/>
  <c r="I15" i="2"/>
  <c r="I16" i="2"/>
  <c r="L16" i="2" s="1"/>
  <c r="I17" i="2"/>
  <c r="L17" i="2" s="1"/>
  <c r="I18" i="2"/>
  <c r="L18" i="2" s="1"/>
  <c r="I19" i="2"/>
  <c r="L19" i="2" s="1"/>
  <c r="I20" i="2"/>
  <c r="L20" i="2" s="1"/>
  <c r="I21" i="2"/>
  <c r="L21" i="2" s="1"/>
  <c r="I22" i="2"/>
  <c r="L22" i="2" s="1"/>
  <c r="J27" i="2"/>
  <c r="J31" i="2"/>
  <c r="L31" i="2" s="1"/>
  <c r="N37" i="2"/>
  <c r="N38" i="2"/>
  <c r="N39" i="2"/>
  <c r="J39" i="2"/>
  <c r="L39" i="2" s="1"/>
  <c r="N40" i="2"/>
  <c r="N41" i="2"/>
  <c r="J41" i="2"/>
  <c r="L41" i="2" s="1"/>
  <c r="N42" i="2"/>
  <c r="K45" i="2"/>
  <c r="K52" i="2"/>
  <c r="L52" i="2" s="1"/>
  <c r="K53" i="2"/>
  <c r="L53" i="2" s="1"/>
  <c r="J54" i="2"/>
  <c r="A5" i="2"/>
  <c r="B89" i="2" l="1"/>
  <c r="B90" i="2" s="1"/>
  <c r="B91" i="2" s="1"/>
  <c r="B63" i="2"/>
  <c r="K63" i="2"/>
  <c r="J63" i="2"/>
  <c r="L15" i="2"/>
  <c r="L27" i="2"/>
  <c r="L45" i="2"/>
  <c r="L63" i="2" l="1"/>
  <c r="N9" i="2" s="1"/>
  <c r="H94" i="2" l="1"/>
  <c r="K65" i="2"/>
  <c r="L9" i="2"/>
  <c r="D94" i="2"/>
  <c r="L5" i="2" l="1"/>
  <c r="H30" i="1" l="1"/>
  <c r="H31" i="1"/>
  <c r="H32" i="1"/>
  <c r="H33" i="1"/>
  <c r="H34" i="1"/>
  <c r="H35" i="1"/>
  <c r="H36" i="1" l="1"/>
  <c r="G45" i="2"/>
  <c r="H45" i="2" s="1"/>
  <c r="B6" i="10"/>
  <c r="B7" i="10"/>
  <c r="B8" i="10"/>
  <c r="B9" i="10"/>
  <c r="B10" i="10"/>
  <c r="B11" i="10"/>
  <c r="B12" i="10"/>
  <c r="B5" i="10"/>
  <c r="B4" i="10"/>
  <c r="U5" i="10"/>
  <c r="T5" i="10"/>
  <c r="S5" i="10"/>
  <c r="R5" i="10"/>
  <c r="Q5" i="10"/>
  <c r="P5" i="10"/>
  <c r="O5" i="10"/>
  <c r="N5" i="10"/>
  <c r="M5" i="10"/>
  <c r="L5" i="10"/>
  <c r="B15" i="1" l="1"/>
  <c r="C15" i="1"/>
  <c r="H29" i="10"/>
  <c r="D13" i="10"/>
  <c r="D17" i="10" s="1"/>
  <c r="D12" i="10"/>
  <c r="D16" i="10" s="1"/>
  <c r="D11" i="10"/>
  <c r="D15" i="10" s="1"/>
  <c r="D10" i="10"/>
  <c r="D9" i="10"/>
  <c r="D8" i="10"/>
  <c r="D5" i="10"/>
  <c r="D4" i="10"/>
  <c r="C13" i="10"/>
  <c r="C17" i="10" s="1"/>
  <c r="C12" i="10"/>
  <c r="C16" i="10" s="1"/>
  <c r="C11" i="10"/>
  <c r="C15" i="10" s="1"/>
  <c r="C10" i="10"/>
  <c r="C9" i="10"/>
  <c r="C8" i="10"/>
  <c r="C5" i="10"/>
  <c r="C4" i="10"/>
  <c r="G29" i="10" s="1"/>
  <c r="G62" i="2" l="1"/>
  <c r="G56" i="2"/>
  <c r="G58" i="2"/>
  <c r="G59" i="2"/>
  <c r="G60" i="2"/>
  <c r="G61" i="2"/>
  <c r="E63" i="2" l="1"/>
  <c r="G55" i="2"/>
  <c r="G54" i="2"/>
  <c r="G53" i="2"/>
  <c r="H53" i="2" s="1"/>
  <c r="G52" i="2"/>
  <c r="H52" i="2" s="1"/>
  <c r="G44" i="2"/>
  <c r="G43" i="2"/>
  <c r="G42" i="2"/>
  <c r="G41" i="2"/>
  <c r="G40" i="2"/>
  <c r="G39" i="2"/>
  <c r="G38" i="2"/>
  <c r="G37" i="2"/>
  <c r="G36" i="2"/>
  <c r="I63" i="2"/>
  <c r="G35" i="2"/>
  <c r="G34" i="2"/>
  <c r="G33" i="2"/>
  <c r="G32" i="2"/>
  <c r="G31" i="2"/>
  <c r="G30" i="2"/>
  <c r="G29" i="2"/>
  <c r="G28" i="2"/>
  <c r="G27" i="2"/>
  <c r="G22" i="2"/>
  <c r="G21" i="2"/>
  <c r="G20" i="2"/>
  <c r="G19" i="2"/>
  <c r="G18" i="2"/>
  <c r="G17" i="2"/>
  <c r="G16" i="2"/>
  <c r="G63" i="2" l="1"/>
  <c r="H63" i="2"/>
  <c r="B69" i="2" l="1"/>
  <c r="B70" i="2"/>
  <c r="C30" i="1"/>
  <c r="C38" i="1" s="1"/>
  <c r="B22" i="1" s="1"/>
  <c r="D56" i="2"/>
  <c r="D63" i="2" s="1"/>
  <c r="B30" i="1" s="1"/>
  <c r="B38" i="1" s="1"/>
  <c r="B21" i="1" s="1"/>
  <c r="K23" i="1" l="1"/>
  <c r="J23" i="1"/>
  <c r="I23" i="1"/>
  <c r="H23" i="1"/>
  <c r="C23" i="1"/>
  <c r="B23" i="1" s="1"/>
  <c r="B68" i="2"/>
  <c r="B71" i="2" s="1"/>
  <c r="B84" i="2" s="1"/>
  <c r="B82" i="2" s="1"/>
  <c r="B83" i="2" s="1"/>
  <c r="E22" i="1" l="1"/>
  <c r="B25" i="1" s="1"/>
  <c r="B24" i="1"/>
  <c r="G78" i="2"/>
  <c r="G76" i="2" s="1"/>
  <c r="G77" i="2" s="1"/>
  <c r="H84" i="2"/>
  <c r="H82" i="2" s="1"/>
  <c r="H83" i="2" s="1"/>
  <c r="I78" i="2"/>
  <c r="I76" i="2" s="1"/>
  <c r="I77" i="2" s="1"/>
  <c r="B78" i="2"/>
  <c r="B76" i="2" s="1"/>
  <c r="B77" i="2" s="1"/>
  <c r="E84" i="2"/>
  <c r="E82" i="2" s="1"/>
  <c r="E83" i="2" s="1"/>
  <c r="J78" i="2"/>
  <c r="J76" i="2" s="1"/>
  <c r="J77" i="2" s="1"/>
  <c r="H93" i="2"/>
  <c r="D93" i="2"/>
  <c r="C78" i="2"/>
  <c r="C76" i="2" s="1"/>
  <c r="C77" i="2" s="1"/>
  <c r="F78" i="2"/>
  <c r="F76" i="2" s="1"/>
  <c r="F77" i="2" s="1"/>
  <c r="D78" i="2"/>
  <c r="D76" i="2" s="1"/>
  <c r="D77" i="2" s="1"/>
  <c r="J84" i="2"/>
  <c r="J82" i="2" s="1"/>
  <c r="J83" i="2" s="1"/>
  <c r="H78" i="2"/>
  <c r="H76" i="2" s="1"/>
  <c r="H77" i="2" s="1"/>
  <c r="G84" i="2"/>
  <c r="G82" i="2" s="1"/>
  <c r="G83" i="2" s="1"/>
  <c r="N8" i="2"/>
  <c r="L8" i="2"/>
  <c r="F84" i="2"/>
  <c r="F82" i="2" s="1"/>
  <c r="F83" i="2" s="1"/>
  <c r="I84" i="2"/>
  <c r="I82" i="2" s="1"/>
  <c r="I83" i="2" s="1"/>
  <c r="E78" i="2"/>
  <c r="E76" i="2" s="1"/>
  <c r="E77" i="2" s="1"/>
  <c r="D84" i="2"/>
  <c r="D82" i="2" s="1"/>
  <c r="D83" i="2" s="1"/>
  <c r="C84" i="2"/>
  <c r="C82" i="2" s="1"/>
  <c r="C83" i="2" s="1"/>
  <c r="D23" i="1" l="1"/>
  <c r="F33" i="10"/>
  <c r="H33" i="10" s="1"/>
  <c r="I33" i="10" s="1"/>
  <c r="I34" i="10" s="1"/>
  <c r="D24" i="1" l="1"/>
  <c r="C24" i="1" s="1"/>
  <c r="E25" i="1"/>
</calcChain>
</file>

<file path=xl/sharedStrings.xml><?xml version="1.0" encoding="utf-8"?>
<sst xmlns="http://schemas.openxmlformats.org/spreadsheetml/2006/main" count="830" uniqueCount="211">
  <si>
    <t>REF.</t>
  </si>
  <si>
    <t>PCS</t>
  </si>
  <si>
    <t>DOD-220A</t>
  </si>
  <si>
    <t>DOTD-230A</t>
  </si>
  <si>
    <t>DTD-210A</t>
  </si>
  <si>
    <t>DTD-215A</t>
  </si>
  <si>
    <t>MAD-481</t>
  </si>
  <si>
    <t>MAD-490</t>
  </si>
  <si>
    <t xml:space="preserve"> Total</t>
  </si>
  <si>
    <t>A</t>
  </si>
  <si>
    <t>Fill the PCS field for the desired configuration (Yelow field)</t>
  </si>
  <si>
    <t>MAD-473</t>
  </si>
  <si>
    <t>MAD-472</t>
  </si>
  <si>
    <t>This tool may be used as a design help for Detnov Security S.L. We reserve the right not to be responsible for its accuracy, completeness or quality of the information provided, including any kind of information which could be incomplete or incorrect.</t>
  </si>
  <si>
    <t>MAD-461-I</t>
  </si>
  <si>
    <t>DOD-220A-I</t>
  </si>
  <si>
    <t>DOTD-230A-I</t>
  </si>
  <si>
    <t>DTD-210A-I</t>
  </si>
  <si>
    <t>DTD-215A-I</t>
  </si>
  <si>
    <t xml:space="preserve"> </t>
  </si>
  <si>
    <t>MAD-401 &amp; MAD-401-I</t>
  </si>
  <si>
    <t>MAD-402 &amp; MAD-402-I</t>
  </si>
  <si>
    <t>MAD-411 &amp; MAD-411-I</t>
  </si>
  <si>
    <t>MAD-412 &amp; MAD-412-I</t>
  </si>
  <si>
    <t>MAD-421 &amp; MAD-421-I</t>
  </si>
  <si>
    <t>MAD-422 &amp; MAD-422-I</t>
  </si>
  <si>
    <t>MAD-431 &amp; MAD-431-I</t>
  </si>
  <si>
    <t>MAD-432 &amp; MAD-432-I</t>
  </si>
  <si>
    <t>MAD-441 &amp; MAD-441-I</t>
  </si>
  <si>
    <t>MAD-442 &amp; MAD-442-I</t>
  </si>
  <si>
    <t>MAD-450 &amp; MAD-450-I</t>
  </si>
  <si>
    <t>MAD-405-I</t>
  </si>
  <si>
    <t>MAD-409-I</t>
  </si>
  <si>
    <t>MAD-415-I</t>
  </si>
  <si>
    <t>MAD-419-I</t>
  </si>
  <si>
    <t>MAD-425-I</t>
  </si>
  <si>
    <t>MAD-429-I</t>
  </si>
  <si>
    <t>MAD-451-I</t>
  </si>
  <si>
    <t>I_Standby (A)</t>
  </si>
  <si>
    <t>I_Alarm (A)</t>
  </si>
  <si>
    <t>Maximum devices in alarm at the same time</t>
  </si>
  <si>
    <t>Detectors</t>
  </si>
  <si>
    <t>MCP</t>
  </si>
  <si>
    <t>Sounders/Strobes</t>
  </si>
  <si>
    <t>Modules</t>
  </si>
  <si>
    <t>Standby time</t>
  </si>
  <si>
    <t>h</t>
  </si>
  <si>
    <t>Alarm time</t>
  </si>
  <si>
    <t>min</t>
  </si>
  <si>
    <t>Select battery from the list</t>
  </si>
  <si>
    <t>BTD-1207</t>
  </si>
  <si>
    <t>BTD-1218</t>
  </si>
  <si>
    <t>BTD-1224</t>
  </si>
  <si>
    <t>I_Total_Standby</t>
  </si>
  <si>
    <t>I_Total_Alarm</t>
  </si>
  <si>
    <t>1,25 Cmin</t>
  </si>
  <si>
    <t>Selected battery</t>
  </si>
  <si>
    <t>CAD-150-2</t>
  </si>
  <si>
    <t>CAD-150-4</t>
  </si>
  <si>
    <t>Select standby time</t>
  </si>
  <si>
    <t>Select alarm time</t>
  </si>
  <si>
    <t>Devices Loop 1</t>
  </si>
  <si>
    <t>Loop</t>
  </si>
  <si>
    <t>Loop 1</t>
  </si>
  <si>
    <t>Loop 2</t>
  </si>
  <si>
    <t>Loop 3</t>
  </si>
  <si>
    <t>Loop 4</t>
  </si>
  <si>
    <t>Loop 5</t>
  </si>
  <si>
    <t>Loop 6</t>
  </si>
  <si>
    <t>Loop 7</t>
  </si>
  <si>
    <t>Loop 8</t>
  </si>
  <si>
    <t>PAD-10</t>
  </si>
  <si>
    <t>TPLD-100 (CCD-102) = 3 loop address</t>
  </si>
  <si>
    <t>TPLD-100 (CCD-104) = 5 loop address</t>
  </si>
  <si>
    <t>TPLD-100 (CCD-108) = 9 loop address</t>
  </si>
  <si>
    <t>TPLD-100 (CCD-112) = 13 loop address</t>
  </si>
  <si>
    <t>TPLD-100 (CCD-103) = 7 loop address</t>
  </si>
  <si>
    <t>CAD-150-2-MB</t>
  </si>
  <si>
    <t>Time backup power supply</t>
  </si>
  <si>
    <t>Select control panel from the list</t>
  </si>
  <si>
    <t>Tiempos según normativa</t>
  </si>
  <si>
    <t>Reposo (h)</t>
  </si>
  <si>
    <t>Alarma (min)</t>
  </si>
  <si>
    <t>Voltaje (V)</t>
  </si>
  <si>
    <t>Capacidad (Ah)</t>
  </si>
  <si>
    <t>Características baterías</t>
  </si>
  <si>
    <t>Características centrales</t>
  </si>
  <si>
    <t>Central</t>
  </si>
  <si>
    <t>I_Reposo (A)</t>
  </si>
  <si>
    <t>I_Alarma (A)</t>
  </si>
  <si>
    <t>CAD-150-1 &amp; CAD-150-1-Mini</t>
  </si>
  <si>
    <t>CAD-150-8 (4 lazos)</t>
  </si>
  <si>
    <t>CAD-150-8 (6 lazos)</t>
  </si>
  <si>
    <t>CAD-150-8 (8 lazos)</t>
  </si>
  <si>
    <t>CAD-150-8-PLUS (4 lazos)</t>
  </si>
  <si>
    <t>CAD-150-8-PLUS (6 lazos)</t>
  </si>
  <si>
    <t>CAD-150-8-PLUS (8 lazos)</t>
  </si>
  <si>
    <t>Para ocultar valores en celda: formato de numero. En el cuadro tipo escribir ;;; (3 puntos y coma)</t>
  </si>
  <si>
    <t>TABLA AUXILIAR</t>
  </si>
  <si>
    <t>Centrales</t>
  </si>
  <si>
    <t>CAD_150_1</t>
  </si>
  <si>
    <t>CAD_150_2</t>
  </si>
  <si>
    <t>CAD_150_2_MB</t>
  </si>
  <si>
    <t>CAD_150_4</t>
  </si>
  <si>
    <t>CAD_150_8_4loop</t>
  </si>
  <si>
    <t>CAD_150_8_6loop</t>
  </si>
  <si>
    <t>CAD_150_8_8loop</t>
  </si>
  <si>
    <t>CAD_150_8PLUS_4loop</t>
  </si>
  <si>
    <t>CAD_150_8PLUS_6loop</t>
  </si>
  <si>
    <t>CAD_150_8PLUS_8loop</t>
  </si>
  <si>
    <t>PCS_alarm</t>
  </si>
  <si>
    <t>Fill the field for the maximum % of devices in alarm at the same time (Yelow field)</t>
  </si>
  <si>
    <t>Extension Cards</t>
  </si>
  <si>
    <t>TRED-150</t>
  </si>
  <si>
    <t>TMB-151</t>
  </si>
  <si>
    <t>TMBFI-151</t>
  </si>
  <si>
    <t>TMB-251</t>
  </si>
  <si>
    <t>TMBFI-251</t>
  </si>
  <si>
    <t>TED-151-CL</t>
  </si>
  <si>
    <t>2 x 18 Ah</t>
  </si>
  <si>
    <t>2 x 24 Ah</t>
  </si>
  <si>
    <t>Panel auxilliary 24VCC output</t>
  </si>
  <si>
    <t>Cantidad tarjetas</t>
  </si>
  <si>
    <t>System Parameters</t>
  </si>
  <si>
    <t>Battery Time*</t>
  </si>
  <si>
    <t>Fill the PCS field if panel has extension card (Yellow field)</t>
  </si>
  <si>
    <t>2 x 7,2 Ah</t>
  </si>
  <si>
    <t>Minimum battery needed</t>
  </si>
  <si>
    <t>TABLA AUXILIAR 2: para condición de batería necesaria</t>
  </si>
  <si>
    <t>Section of wire</t>
  </si>
  <si>
    <t>Lenght loop</t>
  </si>
  <si>
    <t>mm2</t>
  </si>
  <si>
    <t>meters</t>
  </si>
  <si>
    <t>I_Sounders (A)</t>
  </si>
  <si>
    <t>System Check</t>
  </si>
  <si>
    <t>Current</t>
  </si>
  <si>
    <t>Addresses</t>
  </si>
  <si>
    <t>Loop Parameters</t>
  </si>
  <si>
    <t>Cu</t>
  </si>
  <si>
    <t>Ω*mm2/m</t>
  </si>
  <si>
    <t>I_Standby</t>
  </si>
  <si>
    <t>I_Alarm</t>
  </si>
  <si>
    <t>I_Sounders</t>
  </si>
  <si>
    <t>I_Total</t>
  </si>
  <si>
    <t>V_Lin_Ring</t>
  </si>
  <si>
    <t>V</t>
  </si>
  <si>
    <t>DET</t>
  </si>
  <si>
    <t>MOD</t>
  </si>
  <si>
    <t>SND</t>
  </si>
  <si>
    <t>ADR</t>
  </si>
  <si>
    <t>Fill Cable Section in mm2 and the Line Distance in meters (Yelow field)</t>
  </si>
  <si>
    <t>Warning: The Minimum Cable Seccion in the Loop is 0,5 mm2</t>
  </si>
  <si>
    <t>m</t>
  </si>
  <si>
    <t>Ω</t>
  </si>
  <si>
    <t>Warning: The Maximum Cable Length in the Loop is 3500 meters</t>
  </si>
  <si>
    <t>Minimum Cable Section for common Lenghts</t>
  </si>
  <si>
    <t>Lenghts</t>
  </si>
  <si>
    <t>R_Cable</t>
  </si>
  <si>
    <t>R_eq_Ring</t>
  </si>
  <si>
    <t>S_min</t>
  </si>
  <si>
    <t>Maximum Cable Lenght for Standard Cable Section (IEC 60228)</t>
  </si>
  <si>
    <t>Section</t>
  </si>
  <si>
    <t>L_max</t>
  </si>
  <si>
    <t>Maximum Current Calculation</t>
  </si>
  <si>
    <t>? S</t>
  </si>
  <si>
    <t>? L</t>
  </si>
  <si>
    <t>R_Cable_Sys</t>
  </si>
  <si>
    <t>R_eq_Ring_Sys</t>
  </si>
  <si>
    <t>I_max</t>
  </si>
  <si>
    <t>Sección cable</t>
  </si>
  <si>
    <t>Fuentes alimentación:</t>
  </si>
  <si>
    <t>Dif. Entre BTD y Minimum battery needed</t>
  </si>
  <si>
    <t>PS necesaria:</t>
  </si>
  <si>
    <t>Devices Loop 2</t>
  </si>
  <si>
    <t>Devices Loop 3</t>
  </si>
  <si>
    <t>Devices Loop 4</t>
  </si>
  <si>
    <t>Devices Loop 5</t>
  </si>
  <si>
    <t>Devices Loop 6</t>
  </si>
  <si>
    <t>Devices Loop 7</t>
  </si>
  <si>
    <t>Devices Loop 8</t>
  </si>
  <si>
    <t>Max.10/loop</t>
  </si>
  <si>
    <t>Panel sounder output 1</t>
  </si>
  <si>
    <t>Pantel sounder output 2</t>
  </si>
  <si>
    <t>CAD-150-4-P</t>
  </si>
  <si>
    <t>CAD-150-8-PLUS-P (4 lazos)</t>
  </si>
  <si>
    <t>CAD-150-8-PLUS-P (6 lazos)</t>
  </si>
  <si>
    <t>CAD-150-8-PLUS-P (8 lazos)</t>
  </si>
  <si>
    <t>CAD_150_4_P</t>
  </si>
  <si>
    <t>CAD_150_8PLUS_P_8loop</t>
  </si>
  <si>
    <t>CAD_150_8PLUS_P_6loop</t>
  </si>
  <si>
    <t>CAD_150_8PLUS_P_4loop</t>
  </si>
  <si>
    <t>SYSTEM CALCULATOR DETNOV CAD-150 EXCEL TOOL</t>
  </si>
  <si>
    <t>DGD-600</t>
  </si>
  <si>
    <t>DGD-600-AC</t>
  </si>
  <si>
    <t>DGD-620</t>
  </si>
  <si>
    <t>DGD-620-AC</t>
  </si>
  <si>
    <t>*Battery time: Standby time + Alarm mode time</t>
  </si>
  <si>
    <t>PAD-10A-I</t>
  </si>
  <si>
    <t>FAD-150</t>
  </si>
  <si>
    <t>FAD-40</t>
  </si>
  <si>
    <t>TUL375 EN</t>
  </si>
  <si>
    <t>MAD-464-I Low vol. (78 dB)</t>
  </si>
  <si>
    <t>MAD-464-I Medium vol. (93 dB)</t>
  </si>
  <si>
    <t>MAD-464-I High vol. (97 dB)</t>
  </si>
  <si>
    <t>MAD-465-I Low vol. (78 dB)</t>
  </si>
  <si>
    <t>MAD-465-I Medium vol. (93 dB)</t>
  </si>
  <si>
    <t>MAD-465-I High vol. (97 dB)</t>
  </si>
  <si>
    <t>BTD-1212</t>
  </si>
  <si>
    <t>2 x 12 Ah**</t>
  </si>
  <si>
    <t>**BTD-1212 only available for CAD-150-2-MB and CAD-150-4</t>
  </si>
  <si>
    <t>SC 116 en 2019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</si>
</sst>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 &quot;€&quot;"/>
    <numFmt numFmtId="165" formatCode="0.000000"/>
    <numFmt numFmtId="166" formatCode="0.000"/>
    <numFmt numFmtId="167" formatCode=";;;"/>
    <numFmt numFmtId="168" formatCode="0.00\ &quot;h&quot;"/>
    <numFmt numFmtId="169" formatCode="0\ &quot;V&quot;"/>
    <numFmt numFmtId="170" formatCode="0\ &quot;Ah&quot;"/>
    <numFmt numFmtId="171" formatCode="0.0\ &quot;Ah&quot;"/>
    <numFmt numFmtId="172" formatCode="0.0"/>
    <numFmt numFmtId="173" formatCode="0.00\ &quot;A&quot;"/>
  </numFmts>
  <fonts count="18" x14ac:knownFonts="1">
    <font>
      <sz val="10"/>
      <name val="Arial"/>
    </font>
    <font>
      <b/>
      <sz val="11"/>
      <color indexed="8"/>
      <name val="Calibri"/>
      <family val="2"/>
    </font>
    <font>
      <b/>
      <sz val="10"/>
      <name val="Arial"/>
      <family val="2"/>
    </font>
    <font>
      <i/>
      <sz val="10"/>
      <name val="Arial"/>
      <family val="2"/>
    </font>
    <font>
      <b/>
      <sz val="10"/>
      <color indexed="17"/>
      <name val="Arial"/>
      <family val="2"/>
    </font>
    <font>
      <sz val="10"/>
      <name val="Arial"/>
      <family val="2"/>
    </font>
    <font>
      <sz val="10"/>
      <name val="Calibri"/>
      <family val="2"/>
    </font>
    <font>
      <b/>
      <sz val="10"/>
      <color theme="0"/>
      <name val="Arial"/>
      <family val="2"/>
    </font>
    <font>
      <b/>
      <sz val="10"/>
      <color rgb="FFFF0000"/>
      <name val="Arial"/>
      <family val="2"/>
    </font>
    <font>
      <sz val="10"/>
      <name val="Arial"/>
      <family val="2"/>
    </font>
    <font>
      <b/>
      <sz val="10"/>
      <color theme="4"/>
      <name val="Arial"/>
      <family val="2"/>
    </font>
    <font>
      <sz val="8"/>
      <name val="Arial"/>
      <family val="2"/>
    </font>
    <font>
      <b/>
      <sz val="24"/>
      <color rgb="FFFF0000"/>
      <name val="Arial"/>
      <family val="2"/>
    </font>
    <font>
      <b/>
      <sz val="10"/>
      <color rgb="FF008000"/>
      <name val="Arial"/>
      <family val="2"/>
    </font>
    <font>
      <b/>
      <sz val="10"/>
      <color indexed="10"/>
      <name val="Arial"/>
      <family val="2"/>
    </font>
    <font>
      <b/>
      <sz val="10"/>
      <color indexed="53"/>
      <name val="Arial"/>
      <family val="2"/>
    </font>
    <font>
      <sz val="10"/>
      <color theme="0"/>
      <name val="Arial"/>
      <family val="2"/>
    </font>
    <font>
      <b/>
      <sz val="9"/>
      <color rgb="FFFF0000"/>
      <name val="Arial"/>
      <family val="2"/>
    </font>
  </fonts>
  <fills count="6">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indexed="42"/>
        <bgColor indexed="64"/>
      </patternFill>
    </fill>
    <fill>
      <patternFill patternType="solid">
        <fgColor rgb="FFCCFFCC"/>
        <bgColor indexed="64"/>
      </patternFill>
    </fill>
  </fills>
  <borders count="54">
    <border>
      <left/>
      <right/>
      <top/>
      <bottom/>
      <diagonal/>
    </border>
    <border>
      <left/>
      <right/>
      <top/>
      <bottom style="medium">
        <color indexed="1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s>
  <cellStyleXfs count="2">
    <xf numFmtId="0" fontId="0" fillId="0" borderId="0"/>
    <xf numFmtId="9" fontId="9" fillId="0" borderId="0" applyFont="0" applyFill="0" applyBorder="0" applyAlignment="0" applyProtection="0"/>
  </cellStyleXfs>
  <cellXfs count="250">
    <xf numFmtId="0" fontId="0" fillId="0" borderId="0" xfId="0"/>
    <xf numFmtId="9" fontId="0" fillId="0" borderId="0" xfId="0" applyNumberFormat="1"/>
    <xf numFmtId="164" fontId="0" fillId="0" borderId="0" xfId="0" applyNumberFormat="1"/>
    <xf numFmtId="0" fontId="1" fillId="0" borderId="0" xfId="0" applyFont="1"/>
    <xf numFmtId="0" fontId="2" fillId="0" borderId="1" xfId="0" applyFont="1" applyBorder="1"/>
    <xf numFmtId="164" fontId="2" fillId="0" borderId="1" xfId="0" applyNumberFormat="1" applyFont="1" applyBorder="1"/>
    <xf numFmtId="9" fontId="2" fillId="0" borderId="1" xfId="0" applyNumberFormat="1" applyFont="1" applyBorder="1"/>
    <xf numFmtId="0" fontId="2" fillId="0" borderId="0" xfId="0" applyFont="1"/>
    <xf numFmtId="0" fontId="2" fillId="0" borderId="2" xfId="0" applyFont="1" applyBorder="1"/>
    <xf numFmtId="0" fontId="2" fillId="0" borderId="3" xfId="0" applyFont="1" applyBorder="1"/>
    <xf numFmtId="0" fontId="2" fillId="0" borderId="4" xfId="0" applyFont="1" applyBorder="1"/>
    <xf numFmtId="0" fontId="0" fillId="0" borderId="0" xfId="0" applyBorder="1"/>
    <xf numFmtId="0" fontId="2" fillId="0" borderId="0" xfId="0" applyFont="1" applyFill="1" applyBorder="1"/>
    <xf numFmtId="0" fontId="0" fillId="0" borderId="0" xfId="0" applyFill="1" applyBorder="1"/>
    <xf numFmtId="0" fontId="0" fillId="0" borderId="0" xfId="0" applyFill="1"/>
    <xf numFmtId="0" fontId="4" fillId="0" borderId="0" xfId="0" applyFont="1" applyFill="1" applyBorder="1"/>
    <xf numFmtId="164" fontId="2" fillId="0" borderId="1" xfId="0" applyNumberFormat="1" applyFont="1" applyBorder="1" applyAlignment="1">
      <alignment horizontal="right"/>
    </xf>
    <xf numFmtId="0" fontId="5" fillId="0" borderId="0" xfId="0" applyFont="1"/>
    <xf numFmtId="0" fontId="5" fillId="0" borderId="16" xfId="0" applyFont="1" applyBorder="1"/>
    <xf numFmtId="0" fontId="2" fillId="0" borderId="12" xfId="0" applyFont="1" applyBorder="1"/>
    <xf numFmtId="165" fontId="2" fillId="0" borderId="13" xfId="0" applyNumberFormat="1" applyFont="1" applyBorder="1"/>
    <xf numFmtId="0" fontId="0" fillId="0" borderId="5" xfId="0" applyBorder="1"/>
    <xf numFmtId="0" fontId="0" fillId="0" borderId="6" xfId="0" applyBorder="1"/>
    <xf numFmtId="0" fontId="0" fillId="2" borderId="7" xfId="0" applyFill="1" applyBorder="1" applyProtection="1">
      <protection locked="0"/>
    </xf>
    <xf numFmtId="165" fontId="0" fillId="0" borderId="7" xfId="0" applyNumberFormat="1" applyBorder="1"/>
    <xf numFmtId="0" fontId="5" fillId="0" borderId="6" xfId="0" applyFont="1" applyBorder="1"/>
    <xf numFmtId="0" fontId="5" fillId="0" borderId="9" xfId="0" applyFont="1" applyBorder="1"/>
    <xf numFmtId="0" fontId="0" fillId="2" borderId="10" xfId="0" applyFill="1" applyBorder="1" applyProtection="1">
      <protection locked="0"/>
    </xf>
    <xf numFmtId="0" fontId="0" fillId="0" borderId="0" xfId="0" applyBorder="1" applyAlignment="1">
      <alignment horizontal="center"/>
    </xf>
    <xf numFmtId="0" fontId="2" fillId="0" borderId="0" xfId="0" applyFont="1" applyBorder="1"/>
    <xf numFmtId="0" fontId="5" fillId="0" borderId="0" xfId="0" applyFont="1" applyFill="1"/>
    <xf numFmtId="0" fontId="6" fillId="0" borderId="0" xfId="0" applyFont="1" applyBorder="1"/>
    <xf numFmtId="0" fontId="8" fillId="0" borderId="0" xfId="0" applyFont="1"/>
    <xf numFmtId="0" fontId="5" fillId="0" borderId="5" xfId="0" applyFont="1" applyBorder="1"/>
    <xf numFmtId="0" fontId="5" fillId="0" borderId="11" xfId="0" applyFont="1" applyBorder="1"/>
    <xf numFmtId="0" fontId="5" fillId="0" borderId="0" xfId="0" applyFont="1" applyFill="1" applyBorder="1"/>
    <xf numFmtId="9" fontId="2" fillId="0" borderId="0" xfId="0" applyNumberFormat="1" applyFont="1" applyBorder="1"/>
    <xf numFmtId="164" fontId="2" fillId="0" borderId="0" xfId="0" applyNumberFormat="1" applyFont="1" applyBorder="1"/>
    <xf numFmtId="164" fontId="2" fillId="0" borderId="0" xfId="0" applyNumberFormat="1" applyFont="1" applyBorder="1" applyAlignment="1">
      <alignment horizontal="right"/>
    </xf>
    <xf numFmtId="0" fontId="5" fillId="0" borderId="6" xfId="0" applyFont="1" applyFill="1" applyBorder="1"/>
    <xf numFmtId="0" fontId="4" fillId="0" borderId="0" xfId="0" applyFont="1"/>
    <xf numFmtId="0" fontId="5" fillId="0" borderId="0" xfId="0" applyFont="1" applyBorder="1"/>
    <xf numFmtId="0" fontId="0" fillId="2" borderId="16" xfId="0" applyFill="1" applyBorder="1" applyAlignment="1" applyProtection="1">
      <alignment horizontal="right"/>
      <protection locked="0"/>
    </xf>
    <xf numFmtId="0" fontId="0" fillId="2" borderId="22" xfId="0" applyFill="1" applyBorder="1" applyAlignment="1" applyProtection="1">
      <alignment horizontal="right"/>
      <protection locked="0"/>
    </xf>
    <xf numFmtId="0" fontId="0" fillId="0" borderId="0" xfId="0" applyFont="1" applyFill="1" applyBorder="1"/>
    <xf numFmtId="0" fontId="5" fillId="0" borderId="23" xfId="0" applyFont="1" applyBorder="1"/>
    <xf numFmtId="0" fontId="0" fillId="0" borderId="24" xfId="0" applyBorder="1"/>
    <xf numFmtId="0" fontId="5" fillId="0" borderId="25" xfId="0" applyFont="1" applyBorder="1"/>
    <xf numFmtId="0" fontId="0" fillId="0" borderId="21" xfId="0" applyBorder="1"/>
    <xf numFmtId="0" fontId="2" fillId="0" borderId="7" xfId="0" applyFont="1" applyBorder="1"/>
    <xf numFmtId="0" fontId="0" fillId="0" borderId="20" xfId="0" applyBorder="1"/>
    <xf numFmtId="0" fontId="0" fillId="0" borderId="19" xfId="0" applyBorder="1"/>
    <xf numFmtId="0" fontId="0" fillId="0" borderId="17" xfId="0" applyBorder="1"/>
    <xf numFmtId="0" fontId="2" fillId="0" borderId="26" xfId="0" applyFont="1" applyBorder="1"/>
    <xf numFmtId="0" fontId="2" fillId="0" borderId="27" xfId="0" applyFont="1" applyBorder="1"/>
    <xf numFmtId="0" fontId="10" fillId="0" borderId="0" xfId="0" applyFont="1"/>
    <xf numFmtId="166" fontId="5" fillId="0" borderId="24" xfId="0" applyNumberFormat="1" applyFont="1" applyBorder="1"/>
    <xf numFmtId="0" fontId="5" fillId="0" borderId="24" xfId="0" applyFont="1" applyBorder="1"/>
    <xf numFmtId="0" fontId="5" fillId="3" borderId="0" xfId="0" applyFont="1" applyFill="1" applyAlignment="1"/>
    <xf numFmtId="0" fontId="5" fillId="0" borderId="7" xfId="0" applyFont="1" applyBorder="1"/>
    <xf numFmtId="0" fontId="0" fillId="0" borderId="7" xfId="0" applyBorder="1"/>
    <xf numFmtId="9" fontId="0" fillId="2" borderId="8" xfId="1" applyFont="1" applyFill="1" applyBorder="1" applyAlignment="1" applyProtection="1">
      <alignment horizontal="right"/>
      <protection locked="0"/>
    </xf>
    <xf numFmtId="0" fontId="0" fillId="0" borderId="29" xfId="0" applyBorder="1"/>
    <xf numFmtId="9" fontId="0" fillId="2" borderId="11" xfId="1" applyFont="1" applyFill="1" applyBorder="1" applyAlignment="1" applyProtection="1">
      <alignment horizontal="right"/>
      <protection locked="0"/>
    </xf>
    <xf numFmtId="165" fontId="0" fillId="0" borderId="15" xfId="0" applyNumberFormat="1" applyBorder="1" applyProtection="1">
      <protection hidden="1"/>
    </xf>
    <xf numFmtId="165" fontId="0" fillId="0" borderId="10" xfId="0" applyNumberFormat="1" applyBorder="1" applyProtection="1">
      <protection hidden="1"/>
    </xf>
    <xf numFmtId="167" fontId="2" fillId="0" borderId="0" xfId="0" applyNumberFormat="1" applyFont="1" applyFill="1" applyBorder="1" applyProtection="1">
      <protection hidden="1"/>
    </xf>
    <xf numFmtId="0" fontId="2" fillId="0" borderId="0" xfId="0" applyFont="1" applyFill="1" applyBorder="1" applyAlignment="1" applyProtection="1">
      <alignment horizontal="left"/>
      <protection hidden="1"/>
    </xf>
    <xf numFmtId="165" fontId="0" fillId="0" borderId="7" xfId="0" applyNumberFormat="1" applyBorder="1" applyProtection="1">
      <protection hidden="1"/>
    </xf>
    <xf numFmtId="165" fontId="0" fillId="0" borderId="8" xfId="0" applyNumberFormat="1" applyBorder="1" applyProtection="1">
      <protection hidden="1"/>
    </xf>
    <xf numFmtId="165" fontId="2" fillId="0" borderId="13" xfId="0" applyNumberFormat="1" applyFont="1" applyBorder="1" applyProtection="1">
      <protection hidden="1"/>
    </xf>
    <xf numFmtId="165" fontId="2" fillId="0" borderId="14" xfId="0" applyNumberFormat="1" applyFont="1" applyBorder="1" applyProtection="1">
      <protection hidden="1"/>
    </xf>
    <xf numFmtId="165" fontId="7" fillId="0" borderId="13" xfId="0" applyNumberFormat="1" applyFont="1" applyBorder="1" applyProtection="1">
      <protection hidden="1"/>
    </xf>
    <xf numFmtId="0" fontId="2" fillId="0" borderId="13" xfId="0" applyFont="1" applyFill="1" applyBorder="1" applyProtection="1">
      <protection hidden="1"/>
    </xf>
    <xf numFmtId="0" fontId="5" fillId="0" borderId="19" xfId="0" applyFont="1" applyFill="1" applyBorder="1"/>
    <xf numFmtId="0" fontId="5" fillId="0" borderId="31" xfId="0" applyNumberFormat="1" applyFont="1" applyBorder="1"/>
    <xf numFmtId="167" fontId="5" fillId="0" borderId="0" xfId="0" applyNumberFormat="1" applyFont="1" applyFill="1" applyBorder="1" applyProtection="1">
      <protection hidden="1"/>
    </xf>
    <xf numFmtId="0" fontId="8" fillId="0" borderId="0" xfId="0" applyFont="1" applyBorder="1"/>
    <xf numFmtId="0" fontId="0" fillId="0" borderId="6" xfId="0" applyBorder="1" applyAlignment="1">
      <alignment vertical="top"/>
    </xf>
    <xf numFmtId="0" fontId="2" fillId="0" borderId="3" xfId="0" applyFont="1" applyFill="1" applyBorder="1"/>
    <xf numFmtId="0" fontId="5" fillId="0" borderId="4" xfId="0" applyFont="1" applyBorder="1" applyAlignment="1">
      <alignment horizontal="center"/>
    </xf>
    <xf numFmtId="168" fontId="2" fillId="0" borderId="9" xfId="0" applyNumberFormat="1" applyFont="1" applyBorder="1"/>
    <xf numFmtId="168" fontId="2" fillId="0" borderId="10" xfId="0" applyNumberFormat="1" applyFont="1" applyBorder="1"/>
    <xf numFmtId="168" fontId="2" fillId="0" borderId="11" xfId="0" applyNumberFormat="1" applyFont="1" applyBorder="1"/>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left" vertical="center"/>
    </xf>
    <xf numFmtId="0" fontId="2" fillId="0" borderId="2" xfId="0" applyFont="1" applyBorder="1" applyAlignment="1">
      <alignment vertical="center"/>
    </xf>
    <xf numFmtId="0" fontId="1" fillId="0" borderId="28" xfId="0" applyFont="1" applyBorder="1" applyAlignment="1">
      <alignment vertical="center"/>
    </xf>
    <xf numFmtId="0" fontId="4" fillId="0" borderId="0" xfId="0" applyFont="1" applyFill="1" applyBorder="1" applyAlignment="1">
      <alignment horizontal="left" vertical="center"/>
    </xf>
    <xf numFmtId="0" fontId="11" fillId="0" borderId="0" xfId="0" applyFont="1" applyFill="1" applyBorder="1"/>
    <xf numFmtId="167" fontId="7" fillId="0" borderId="17" xfId="0" applyNumberFormat="1" applyFont="1" applyBorder="1" applyProtection="1">
      <protection hidden="1"/>
    </xf>
    <xf numFmtId="167" fontId="7" fillId="0" borderId="18" xfId="0" applyNumberFormat="1" applyFont="1" applyBorder="1" applyProtection="1">
      <protection hidden="1"/>
    </xf>
    <xf numFmtId="0" fontId="0" fillId="2" borderId="32" xfId="0" applyFill="1" applyBorder="1" applyAlignment="1" applyProtection="1">
      <alignment horizontal="left"/>
      <protection locked="0"/>
    </xf>
    <xf numFmtId="0" fontId="2" fillId="0" borderId="30" xfId="0" applyFont="1" applyBorder="1" applyAlignment="1">
      <alignment horizontal="center" vertical="center"/>
    </xf>
    <xf numFmtId="0" fontId="0" fillId="0" borderId="33"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0" fillId="0" borderId="34" xfId="0" applyBorder="1" applyAlignment="1">
      <alignment vertical="top"/>
    </xf>
    <xf numFmtId="167" fontId="0" fillId="0" borderId="33" xfId="0" applyNumberFormat="1" applyBorder="1" applyAlignment="1">
      <alignment vertical="top"/>
    </xf>
    <xf numFmtId="165" fontId="2" fillId="0" borderId="22" xfId="0" applyNumberFormat="1" applyFont="1" applyBorder="1" applyProtection="1">
      <protection hidden="1"/>
    </xf>
    <xf numFmtId="0" fontId="0" fillId="0" borderId="9" xfId="0" applyBorder="1" applyAlignment="1">
      <alignment vertical="top"/>
    </xf>
    <xf numFmtId="165" fontId="0" fillId="0" borderId="11" xfId="0" applyNumberFormat="1" applyBorder="1" applyProtection="1">
      <protection hidden="1"/>
    </xf>
    <xf numFmtId="167" fontId="0" fillId="0" borderId="0" xfId="0" applyNumberFormat="1" applyBorder="1"/>
    <xf numFmtId="0" fontId="8" fillId="0" borderId="0" xfId="0" applyFont="1" applyFill="1" applyBorder="1"/>
    <xf numFmtId="0" fontId="2" fillId="0" borderId="35" xfId="0" applyFont="1" applyBorder="1"/>
    <xf numFmtId="0" fontId="5" fillId="0" borderId="8" xfId="0" applyFont="1" applyBorder="1"/>
    <xf numFmtId="0" fontId="2" fillId="0" borderId="10" xfId="0" applyFont="1" applyBorder="1"/>
    <xf numFmtId="0" fontId="5" fillId="0" borderId="37" xfId="0" applyFont="1" applyBorder="1"/>
    <xf numFmtId="0" fontId="0" fillId="2" borderId="17" xfId="0" applyFill="1" applyBorder="1" applyProtection="1">
      <protection locked="0"/>
    </xf>
    <xf numFmtId="0" fontId="2" fillId="0" borderId="17" xfId="0" applyFont="1" applyBorder="1"/>
    <xf numFmtId="0" fontId="5" fillId="0" borderId="18" xfId="0" applyFont="1" applyBorder="1"/>
    <xf numFmtId="0" fontId="2" fillId="0" borderId="13" xfId="0" applyFont="1" applyBorder="1"/>
    <xf numFmtId="0" fontId="2" fillId="0" borderId="14" xfId="0" applyFont="1" applyBorder="1"/>
    <xf numFmtId="0" fontId="0" fillId="2" borderId="17"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2" fillId="0" borderId="0" xfId="0" applyFont="1" applyFill="1" applyBorder="1" applyProtection="1">
      <protection hidden="1"/>
    </xf>
    <xf numFmtId="165" fontId="2" fillId="0" borderId="0" xfId="0" applyNumberFormat="1" applyFont="1" applyBorder="1"/>
    <xf numFmtId="165" fontId="2" fillId="0" borderId="0" xfId="0" applyNumberFormat="1" applyFont="1" applyBorder="1" applyProtection="1">
      <protection hidden="1"/>
    </xf>
    <xf numFmtId="165" fontId="7" fillId="0" borderId="0" xfId="0" applyNumberFormat="1" applyFont="1" applyBorder="1" applyProtection="1">
      <protection hidden="1"/>
    </xf>
    <xf numFmtId="0" fontId="0" fillId="0" borderId="8" xfId="0" applyBorder="1"/>
    <xf numFmtId="0" fontId="0" fillId="0" borderId="10" xfId="0" applyBorder="1"/>
    <xf numFmtId="0" fontId="0" fillId="0" borderId="11" xfId="0" applyBorder="1"/>
    <xf numFmtId="0" fontId="5" fillId="0" borderId="38" xfId="0" applyFont="1" applyBorder="1"/>
    <xf numFmtId="0" fontId="0" fillId="2" borderId="20" xfId="0" applyFill="1" applyBorder="1" applyProtection="1">
      <protection locked="0"/>
    </xf>
    <xf numFmtId="165" fontId="0" fillId="0" borderId="20" xfId="0" applyNumberFormat="1" applyBorder="1" applyProtection="1">
      <protection hidden="1"/>
    </xf>
    <xf numFmtId="0" fontId="0" fillId="0" borderId="39" xfId="0" applyBorder="1"/>
    <xf numFmtId="0" fontId="0" fillId="0" borderId="13" xfId="0" applyBorder="1"/>
    <xf numFmtId="0" fontId="0" fillId="0" borderId="14" xfId="0" applyBorder="1"/>
    <xf numFmtId="0" fontId="0" fillId="0" borderId="37" xfId="0" applyBorder="1"/>
    <xf numFmtId="165" fontId="0" fillId="0" borderId="17" xfId="0" applyNumberFormat="1" applyBorder="1" applyProtection="1">
      <protection hidden="1"/>
    </xf>
    <xf numFmtId="0" fontId="0" fillId="0" borderId="18" xfId="0" applyBorder="1"/>
    <xf numFmtId="164" fontId="2" fillId="0" borderId="4" xfId="0" applyNumberFormat="1" applyFont="1" applyBorder="1"/>
    <xf numFmtId="0" fontId="0" fillId="0" borderId="40" xfId="0" applyBorder="1"/>
    <xf numFmtId="166" fontId="0" fillId="0" borderId="7" xfId="0" applyNumberFormat="1" applyBorder="1"/>
    <xf numFmtId="0" fontId="5" fillId="0" borderId="7" xfId="0" applyFont="1" applyFill="1" applyBorder="1"/>
    <xf numFmtId="166" fontId="0" fillId="0" borderId="17" xfId="0" applyNumberFormat="1" applyBorder="1"/>
    <xf numFmtId="0" fontId="5" fillId="0" borderId="9" xfId="0" applyFont="1" applyFill="1" applyBorder="1"/>
    <xf numFmtId="0" fontId="4" fillId="0" borderId="20" xfId="0" applyFont="1" applyBorder="1"/>
    <xf numFmtId="0" fontId="2" fillId="0" borderId="14" xfId="0" applyFont="1" applyFill="1" applyBorder="1" applyProtection="1">
      <protection hidden="1"/>
    </xf>
    <xf numFmtId="0" fontId="2" fillId="0" borderId="34" xfId="0" applyFont="1" applyBorder="1" applyAlignment="1">
      <alignment horizontal="left"/>
    </xf>
    <xf numFmtId="0" fontId="2" fillId="0" borderId="33" xfId="0" applyFont="1" applyBorder="1" applyAlignment="1">
      <alignment horizontal="center"/>
    </xf>
    <xf numFmtId="0" fontId="2" fillId="0" borderId="33" xfId="0" applyFont="1" applyBorder="1"/>
    <xf numFmtId="0" fontId="2" fillId="0" borderId="22" xfId="0" applyFont="1" applyBorder="1"/>
    <xf numFmtId="0" fontId="0" fillId="0" borderId="3" xfId="0" applyBorder="1"/>
    <xf numFmtId="0" fontId="0" fillId="0" borderId="4" xfId="0" applyBorder="1"/>
    <xf numFmtId="0" fontId="13" fillId="0" borderId="0" xfId="0" applyFont="1"/>
    <xf numFmtId="0" fontId="14" fillId="0" borderId="0" xfId="0" applyFont="1"/>
    <xf numFmtId="0" fontId="15" fillId="0" borderId="0" xfId="0" applyFont="1"/>
    <xf numFmtId="0" fontId="5" fillId="0" borderId="41" xfId="0" applyFont="1" applyBorder="1"/>
    <xf numFmtId="0" fontId="0" fillId="0" borderId="42" xfId="0" applyBorder="1"/>
    <xf numFmtId="1" fontId="0" fillId="0" borderId="7" xfId="0" applyNumberFormat="1" applyBorder="1"/>
    <xf numFmtId="1" fontId="0" fillId="0" borderId="10" xfId="0" applyNumberFormat="1" applyBorder="1"/>
    <xf numFmtId="3" fontId="0" fillId="0" borderId="7" xfId="0" applyNumberFormat="1" applyBorder="1"/>
    <xf numFmtId="0" fontId="2" fillId="4" borderId="35" xfId="0" applyFont="1" applyFill="1" applyBorder="1" applyAlignment="1">
      <alignment horizontal="center"/>
    </xf>
    <xf numFmtId="0" fontId="5" fillId="0" borderId="37" xfId="0" applyFont="1" applyFill="1" applyBorder="1"/>
    <xf numFmtId="0" fontId="2" fillId="4" borderId="36" xfId="0" applyFont="1" applyFill="1" applyBorder="1" applyAlignment="1">
      <alignment horizontal="center"/>
    </xf>
    <xf numFmtId="0" fontId="2" fillId="0" borderId="2" xfId="0" applyFont="1" applyFill="1" applyBorder="1"/>
    <xf numFmtId="0" fontId="8" fillId="0" borderId="17" xfId="0" applyFont="1" applyBorder="1"/>
    <xf numFmtId="0" fontId="8" fillId="0" borderId="3" xfId="0" applyFont="1" applyBorder="1"/>
    <xf numFmtId="0" fontId="5" fillId="0" borderId="41" xfId="0" applyFont="1" applyFill="1" applyBorder="1"/>
    <xf numFmtId="0" fontId="5" fillId="0" borderId="42" xfId="0" applyFont="1" applyFill="1" applyBorder="1"/>
    <xf numFmtId="0" fontId="0" fillId="0" borderId="25" xfId="0" applyBorder="1"/>
    <xf numFmtId="0" fontId="5" fillId="0" borderId="43" xfId="0" applyFont="1" applyFill="1" applyBorder="1"/>
    <xf numFmtId="0" fontId="0" fillId="0" borderId="43" xfId="0" applyBorder="1"/>
    <xf numFmtId="0" fontId="5" fillId="0" borderId="20" xfId="0" applyFont="1" applyFill="1" applyBorder="1"/>
    <xf numFmtId="0" fontId="5" fillId="0" borderId="17" xfId="0" applyFont="1" applyFill="1" applyBorder="1"/>
    <xf numFmtId="167" fontId="2" fillId="0" borderId="2" xfId="0" applyNumberFormat="1" applyFont="1" applyFill="1" applyBorder="1"/>
    <xf numFmtId="167" fontId="0" fillId="0" borderId="3" xfId="0" applyNumberFormat="1" applyBorder="1"/>
    <xf numFmtId="167" fontId="2" fillId="0" borderId="3" xfId="0" applyNumberFormat="1" applyFont="1" applyFill="1" applyBorder="1"/>
    <xf numFmtId="167" fontId="2" fillId="0" borderId="3" xfId="0" applyNumberFormat="1" applyFont="1" applyBorder="1"/>
    <xf numFmtId="0" fontId="3" fillId="0" borderId="0" xfId="0" applyFont="1" applyAlignment="1">
      <alignment horizontal="justify" vertical="top" wrapText="1"/>
    </xf>
    <xf numFmtId="171" fontId="2" fillId="0" borderId="36" xfId="0" applyNumberFormat="1" applyFont="1" applyBorder="1"/>
    <xf numFmtId="167" fontId="5" fillId="0" borderId="0" xfId="0" applyNumberFormat="1" applyFont="1" applyFill="1" applyBorder="1"/>
    <xf numFmtId="0" fontId="0" fillId="3" borderId="0" xfId="0" applyFill="1"/>
    <xf numFmtId="169" fontId="5" fillId="0" borderId="7" xfId="0" applyNumberFormat="1" applyFont="1" applyBorder="1" applyProtection="1">
      <protection hidden="1"/>
    </xf>
    <xf numFmtId="172" fontId="5" fillId="0" borderId="0" xfId="0" applyNumberFormat="1" applyFont="1" applyBorder="1"/>
    <xf numFmtId="0" fontId="5" fillId="0" borderId="45" xfId="0" applyFont="1" applyBorder="1"/>
    <xf numFmtId="0" fontId="5" fillId="0" borderId="46" xfId="0" applyFont="1" applyBorder="1"/>
    <xf numFmtId="0" fontId="5" fillId="0" borderId="47" xfId="0" applyFont="1" applyBorder="1"/>
    <xf numFmtId="0" fontId="5" fillId="0" borderId="32" xfId="0" applyFont="1" applyBorder="1"/>
    <xf numFmtId="0" fontId="5" fillId="0" borderId="48" xfId="0" applyFont="1" applyBorder="1"/>
    <xf numFmtId="0" fontId="5" fillId="0" borderId="40" xfId="0" applyFont="1" applyBorder="1"/>
    <xf numFmtId="167" fontId="16" fillId="0" borderId="7" xfId="0" applyNumberFormat="1" applyFont="1" applyBorder="1" applyProtection="1">
      <protection hidden="1"/>
    </xf>
    <xf numFmtId="170" fontId="6" fillId="0" borderId="7" xfId="0" applyNumberFormat="1" applyFont="1" applyBorder="1"/>
    <xf numFmtId="0" fontId="5" fillId="0" borderId="2" xfId="0" applyFont="1" applyBorder="1"/>
    <xf numFmtId="170" fontId="5" fillId="0" borderId="5" xfId="0" applyNumberFormat="1" applyFont="1" applyBorder="1"/>
    <xf numFmtId="0" fontId="5" fillId="0" borderId="15" xfId="0" applyFont="1" applyBorder="1"/>
    <xf numFmtId="170" fontId="5" fillId="0" borderId="6" xfId="0" applyNumberFormat="1" applyFont="1" applyBorder="1"/>
    <xf numFmtId="0" fontId="5" fillId="2" borderId="6" xfId="0" applyFont="1" applyFill="1" applyBorder="1" applyAlignment="1" applyProtection="1">
      <alignment horizontal="left"/>
      <protection locked="0"/>
    </xf>
    <xf numFmtId="171" fontId="5" fillId="0" borderId="6" xfId="0" applyNumberFormat="1" applyFont="1" applyBorder="1"/>
    <xf numFmtId="3" fontId="2" fillId="5" borderId="44" xfId="0" applyNumberFormat="1" applyFont="1" applyFill="1" applyBorder="1"/>
    <xf numFmtId="0" fontId="5" fillId="0" borderId="0" xfId="0" applyFont="1" applyBorder="1" applyAlignment="1"/>
    <xf numFmtId="167" fontId="5" fillId="0" borderId="0" xfId="0" applyNumberFormat="1" applyFont="1" applyBorder="1"/>
    <xf numFmtId="0" fontId="17" fillId="0" borderId="0" xfId="0" applyFont="1" applyFill="1" applyBorder="1"/>
    <xf numFmtId="165" fontId="0" fillId="0" borderId="15" xfId="0" applyNumberFormat="1" applyBorder="1"/>
    <xf numFmtId="165" fontId="0" fillId="0" borderId="10" xfId="0" applyNumberFormat="1" applyBorder="1"/>
    <xf numFmtId="9" fontId="8" fillId="0" borderId="0" xfId="0" applyNumberFormat="1" applyFont="1" applyBorder="1"/>
    <xf numFmtId="0" fontId="5" fillId="0" borderId="8" xfId="0" applyFont="1" applyBorder="1" applyAlignment="1">
      <alignment horizontal="right"/>
    </xf>
    <xf numFmtId="173" fontId="0" fillId="2" borderId="7" xfId="0" applyNumberFormat="1" applyFill="1" applyBorder="1" applyProtection="1">
      <protection locked="0"/>
    </xf>
    <xf numFmtId="173" fontId="0" fillId="2" borderId="8" xfId="0" applyNumberFormat="1" applyFill="1" applyBorder="1" applyProtection="1">
      <protection locked="0"/>
    </xf>
    <xf numFmtId="0" fontId="0" fillId="2" borderId="38" xfId="0" applyFill="1" applyBorder="1" applyAlignment="1" applyProtection="1">
      <alignment horizontal="left"/>
      <protection locked="0"/>
    </xf>
    <xf numFmtId="169" fontId="0" fillId="0" borderId="20" xfId="0" applyNumberFormat="1" applyBorder="1" applyProtection="1">
      <protection hidden="1"/>
    </xf>
    <xf numFmtId="170" fontId="6" fillId="0" borderId="39" xfId="0" applyNumberFormat="1" applyFont="1" applyBorder="1"/>
    <xf numFmtId="0" fontId="5" fillId="0" borderId="34" xfId="0" applyNumberFormat="1" applyFont="1" applyBorder="1"/>
    <xf numFmtId="173" fontId="0" fillId="2" borderId="10" xfId="0" applyNumberFormat="1" applyFill="1" applyBorder="1" applyProtection="1">
      <protection locked="0"/>
    </xf>
    <xf numFmtId="173" fontId="0" fillId="2" borderId="11" xfId="0" applyNumberFormat="1" applyFill="1" applyBorder="1" applyProtection="1">
      <protection locked="0"/>
    </xf>
    <xf numFmtId="173" fontId="0" fillId="2" borderId="17" xfId="0" applyNumberFormat="1" applyFill="1" applyBorder="1" applyProtection="1">
      <protection locked="0"/>
    </xf>
    <xf numFmtId="173" fontId="0" fillId="2" borderId="18" xfId="0" applyNumberFormat="1" applyFill="1" applyBorder="1" applyProtection="1">
      <protection locked="0"/>
    </xf>
    <xf numFmtId="0" fontId="5" fillId="0" borderId="12" xfId="0" applyNumberFormat="1" applyFont="1" applyBorder="1"/>
    <xf numFmtId="0" fontId="5" fillId="0" borderId="13" xfId="0" applyNumberFormat="1" applyFont="1" applyBorder="1"/>
    <xf numFmtId="0" fontId="5" fillId="0" borderId="14" xfId="0" applyNumberFormat="1" applyFont="1" applyBorder="1"/>
    <xf numFmtId="0" fontId="3" fillId="0" borderId="0" xfId="0" applyFont="1" applyAlignment="1">
      <alignment horizontal="left" vertical="top" wrapText="1"/>
    </xf>
    <xf numFmtId="0" fontId="5" fillId="0" borderId="23" xfId="0" applyFont="1" applyFill="1" applyBorder="1"/>
    <xf numFmtId="166" fontId="5" fillId="0" borderId="0" xfId="0" applyNumberFormat="1" applyFont="1" applyFill="1" applyBorder="1"/>
    <xf numFmtId="166" fontId="0" fillId="0" borderId="0" xfId="0" applyNumberFormat="1" applyBorder="1"/>
    <xf numFmtId="166" fontId="5" fillId="0" borderId="24" xfId="0" applyNumberFormat="1" applyFont="1" applyFill="1" applyBorder="1"/>
    <xf numFmtId="166" fontId="0" fillId="0" borderId="24" xfId="0" applyNumberFormat="1" applyBorder="1"/>
    <xf numFmtId="0" fontId="5" fillId="0" borderId="25" xfId="0" applyFont="1" applyFill="1" applyBorder="1"/>
    <xf numFmtId="0" fontId="5" fillId="0" borderId="50" xfId="0" applyFont="1" applyBorder="1"/>
    <xf numFmtId="166" fontId="0" fillId="0" borderId="50" xfId="0" applyNumberFormat="1" applyBorder="1"/>
    <xf numFmtId="166" fontId="0" fillId="0" borderId="21" xfId="0" applyNumberFormat="1" applyBorder="1"/>
    <xf numFmtId="0" fontId="2" fillId="0" borderId="51" xfId="0" applyFont="1" applyBorder="1"/>
    <xf numFmtId="0" fontId="2" fillId="0" borderId="20" xfId="0" applyFont="1" applyBorder="1"/>
    <xf numFmtId="0" fontId="5" fillId="0" borderId="20" xfId="0" applyFont="1" applyBorder="1"/>
    <xf numFmtId="0" fontId="0" fillId="0" borderId="52" xfId="0" applyBorder="1"/>
    <xf numFmtId="0" fontId="5" fillId="0" borderId="19" xfId="0" applyFont="1" applyBorder="1"/>
    <xf numFmtId="0" fontId="5" fillId="0" borderId="17" xfId="0" applyFont="1" applyBorder="1"/>
    <xf numFmtId="165" fontId="0" fillId="0" borderId="30" xfId="0" applyNumberFormat="1" applyBorder="1" applyProtection="1">
      <protection hidden="1"/>
    </xf>
    <xf numFmtId="165" fontId="0" fillId="0" borderId="29" xfId="0" applyNumberFormat="1" applyBorder="1" applyProtection="1">
      <protection hidden="1"/>
    </xf>
    <xf numFmtId="0" fontId="0" fillId="0" borderId="7" xfId="0" applyBorder="1" applyProtection="1">
      <protection locked="0" hidden="1"/>
    </xf>
    <xf numFmtId="0" fontId="0" fillId="0" borderId="17" xfId="0" applyBorder="1" applyProtection="1">
      <protection locked="0" hidden="1"/>
    </xf>
    <xf numFmtId="0" fontId="0" fillId="0" borderId="20" xfId="0" applyBorder="1" applyProtection="1">
      <protection locked="0" hidden="1"/>
    </xf>
    <xf numFmtId="0" fontId="2" fillId="0" borderId="53" xfId="0" applyFont="1" applyBorder="1" applyAlignment="1">
      <alignment horizontal="center"/>
    </xf>
    <xf numFmtId="0" fontId="3" fillId="0" borderId="0" xfId="0" applyFont="1" applyAlignment="1">
      <alignment horizontal="left" vertical="top" wrapText="1"/>
    </xf>
    <xf numFmtId="0" fontId="3" fillId="0" borderId="0" xfId="0" applyFont="1" applyAlignment="1">
      <alignment horizontal="justify" vertical="top" wrapText="1"/>
    </xf>
    <xf numFmtId="164" fontId="2" fillId="0" borderId="2" xfId="0" applyNumberFormat="1" applyFont="1" applyBorder="1" applyAlignment="1">
      <alignment horizontal="center"/>
    </xf>
    <xf numFmtId="164" fontId="2" fillId="0" borderId="4" xfId="0" applyNumberFormat="1" applyFont="1" applyBorder="1" applyAlignment="1">
      <alignment horizontal="center"/>
    </xf>
    <xf numFmtId="164" fontId="2" fillId="0" borderId="48" xfId="0" applyNumberFormat="1" applyFont="1" applyBorder="1" applyAlignment="1">
      <alignment horizontal="center"/>
    </xf>
    <xf numFmtId="164" fontId="2" fillId="0" borderId="49" xfId="0" applyNumberFormat="1" applyFont="1" applyBorder="1" applyAlignment="1">
      <alignment horizontal="center"/>
    </xf>
    <xf numFmtId="164" fontId="2" fillId="0" borderId="3" xfId="0" applyNumberFormat="1" applyFont="1" applyBorder="1" applyAlignment="1">
      <alignment horizontal="center"/>
    </xf>
    <xf numFmtId="0" fontId="8" fillId="0" borderId="0" xfId="0" applyFont="1" applyBorder="1" applyAlignment="1">
      <alignment horizontal="left" vertical="center" wrapText="1"/>
    </xf>
    <xf numFmtId="0" fontId="8" fillId="0" borderId="47" xfId="0" applyFont="1" applyBorder="1" applyAlignment="1">
      <alignment horizontal="left" vertical="center" wrapText="1"/>
    </xf>
    <xf numFmtId="0" fontId="8" fillId="0" borderId="0" xfId="0" applyFont="1" applyFill="1"/>
    <xf numFmtId="9" fontId="0" fillId="0" borderId="0" xfId="0" applyNumberFormat="1" applyFill="1"/>
    <xf numFmtId="164" fontId="0" fillId="0" borderId="0" xfId="0" applyNumberFormat="1" applyFill="1"/>
    <xf numFmtId="0" fontId="12" fillId="0" borderId="0" xfId="0" applyFont="1" applyFill="1" applyAlignment="1">
      <alignment vertical="center"/>
    </xf>
  </cellXfs>
  <cellStyles count="2">
    <cellStyle name="Normal" xfId="0" builtinId="0"/>
    <cellStyle name="Porcentaje" xfId="1" builtinId="5"/>
  </cellStyles>
  <dxfs count="219">
    <dxf>
      <font>
        <color theme="0"/>
      </font>
    </dxf>
    <dxf>
      <font>
        <b/>
        <i val="0"/>
        <color rgb="FF0070C0"/>
        <name val="Cambria"/>
        <family val="1"/>
        <scheme val="none"/>
      </font>
    </dxf>
    <dxf>
      <font>
        <b/>
        <i val="0"/>
        <color theme="9"/>
        <name val="Cambria"/>
        <family val="1"/>
        <scheme val="none"/>
      </font>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dxf>
    <dxf>
      <font>
        <color theme="0"/>
      </font>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theme="0"/>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color theme="0"/>
      </font>
    </dxf>
    <dxf>
      <font>
        <b/>
        <i val="0"/>
        <color rgb="FF0070C0"/>
        <name val="Cambria"/>
        <family val="1"/>
        <scheme val="none"/>
      </font>
    </dxf>
    <dxf>
      <font>
        <b/>
        <i val="0"/>
        <color theme="9"/>
        <name val="Cambria"/>
        <family val="1"/>
        <scheme val="none"/>
      </font>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dxf>
    <dxf>
      <font>
        <color theme="0"/>
      </font>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theme="0"/>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color theme="0"/>
      </font>
    </dxf>
    <dxf>
      <font>
        <b/>
        <i val="0"/>
        <color rgb="FF0070C0"/>
        <name val="Cambria"/>
        <family val="1"/>
        <scheme val="none"/>
      </font>
    </dxf>
    <dxf>
      <font>
        <b/>
        <i val="0"/>
        <color theme="9"/>
        <name val="Cambria"/>
        <family val="1"/>
        <scheme val="none"/>
      </font>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dxf>
    <dxf>
      <font>
        <color theme="0"/>
      </font>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theme="0"/>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color theme="0"/>
      </font>
    </dxf>
    <dxf>
      <font>
        <b/>
        <i val="0"/>
        <color rgb="FF0070C0"/>
        <name val="Cambria"/>
        <family val="1"/>
        <scheme val="none"/>
      </font>
    </dxf>
    <dxf>
      <font>
        <b/>
        <i val="0"/>
        <color theme="9"/>
        <name val="Cambria"/>
        <family val="1"/>
        <scheme val="none"/>
      </font>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dxf>
    <dxf>
      <font>
        <color theme="0"/>
      </font>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theme="0"/>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color theme="0"/>
      </font>
    </dxf>
    <dxf>
      <font>
        <b/>
        <i val="0"/>
        <color rgb="FF0070C0"/>
        <name val="Cambria"/>
        <family val="1"/>
        <scheme val="none"/>
      </font>
    </dxf>
    <dxf>
      <font>
        <b/>
        <i val="0"/>
        <color theme="9"/>
        <name val="Cambria"/>
        <family val="1"/>
        <scheme val="none"/>
      </font>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dxf>
    <dxf>
      <font>
        <color theme="0"/>
      </font>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theme="0"/>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color theme="0"/>
      </font>
    </dxf>
    <dxf>
      <font>
        <b/>
        <i val="0"/>
        <color rgb="FF0070C0"/>
        <name val="Cambria"/>
        <family val="1"/>
        <scheme val="none"/>
      </font>
    </dxf>
    <dxf>
      <font>
        <b/>
        <i val="0"/>
        <color theme="9"/>
        <name val="Cambria"/>
        <family val="1"/>
        <scheme val="none"/>
      </font>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dxf>
    <dxf>
      <font>
        <color theme="0"/>
      </font>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theme="0"/>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color theme="0"/>
      </font>
    </dxf>
    <dxf>
      <font>
        <b/>
        <i val="0"/>
        <color rgb="FF0070C0"/>
        <name val="Cambria"/>
        <family val="1"/>
        <scheme val="none"/>
      </font>
    </dxf>
    <dxf>
      <font>
        <b/>
        <i val="0"/>
        <color theme="9"/>
        <name val="Cambria"/>
        <family val="1"/>
        <scheme val="none"/>
      </font>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dxf>
    <dxf>
      <font>
        <color theme="0"/>
      </font>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theme="0"/>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color theme="0"/>
      </font>
    </dxf>
    <dxf>
      <font>
        <b/>
        <i val="0"/>
        <color rgb="FF0070C0"/>
        <name val="Cambria"/>
        <family val="1"/>
        <scheme val="none"/>
      </font>
    </dxf>
    <dxf>
      <font>
        <b/>
        <i val="0"/>
        <color theme="9"/>
        <name val="Cambria"/>
        <family val="1"/>
        <scheme val="none"/>
      </font>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dxf>
    <dxf>
      <font>
        <color theme="0"/>
      </font>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theme="0"/>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92D050"/>
        </patternFill>
      </fill>
    </dxf>
    <dxf>
      <font>
        <b/>
        <i val="0"/>
        <color rgb="FFFF0000"/>
      </font>
    </dxf>
  </dxfs>
  <tableStyles count="0" defaultTableStyle="TableStyleMedium2" defaultPivotStyle="PivotStyleLight16"/>
  <colors>
    <mruColors>
      <color rgb="FFCCFFCC"/>
      <color rgb="FF008000"/>
      <color rgb="FF33CC33"/>
      <color rgb="FF006600"/>
      <color rgb="FF339933"/>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397559</xdr:colOff>
      <xdr:row>4</xdr:row>
      <xdr:rowOff>0</xdr:rowOff>
    </xdr:to>
    <xdr:pic>
      <xdr:nvPicPr>
        <xdr:cNvPr id="1117" name="Picture 1" descr="logo_detnov_CMYK_3D_transparente">
          <a:extLst>
            <a:ext uri="{FF2B5EF4-FFF2-40B4-BE49-F238E27FC236}">
              <a16:creationId xmlns:a16="http://schemas.microsoft.com/office/drawing/2014/main" id="{28E18D49-5CDD-4009-8297-70E84BA13D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65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284164</xdr:colOff>
      <xdr:row>3</xdr:row>
      <xdr:rowOff>132754</xdr:rowOff>
    </xdr:to>
    <xdr:pic>
      <xdr:nvPicPr>
        <xdr:cNvPr id="2" name="Picture 1" descr="logo_detnov_CMYK_3D_transparente">
          <a:extLst>
            <a:ext uri="{FF2B5EF4-FFF2-40B4-BE49-F238E27FC236}">
              <a16:creationId xmlns:a16="http://schemas.microsoft.com/office/drawing/2014/main" id="{75B861D0-9ECE-4E8D-A6A0-3B6F220039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2706688" cy="6607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284164</xdr:colOff>
      <xdr:row>3</xdr:row>
      <xdr:rowOff>132754</xdr:rowOff>
    </xdr:to>
    <xdr:pic>
      <xdr:nvPicPr>
        <xdr:cNvPr id="2" name="Picture 1" descr="logo_detnov_CMYK_3D_transparente">
          <a:extLst>
            <a:ext uri="{FF2B5EF4-FFF2-40B4-BE49-F238E27FC236}">
              <a16:creationId xmlns:a16="http://schemas.microsoft.com/office/drawing/2014/main" id="{C0DE4D93-59D1-4050-9620-B4DEAC0BB3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2692083" cy="6509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284164</xdr:colOff>
      <xdr:row>3</xdr:row>
      <xdr:rowOff>132754</xdr:rowOff>
    </xdr:to>
    <xdr:pic>
      <xdr:nvPicPr>
        <xdr:cNvPr id="2" name="Picture 1" descr="logo_detnov_CMYK_3D_transparente">
          <a:extLst>
            <a:ext uri="{FF2B5EF4-FFF2-40B4-BE49-F238E27FC236}">
              <a16:creationId xmlns:a16="http://schemas.microsoft.com/office/drawing/2014/main" id="{AB533D83-57DD-4DB7-85BB-E2539DFFF4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2692083" cy="6509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284164</xdr:colOff>
      <xdr:row>3</xdr:row>
      <xdr:rowOff>132754</xdr:rowOff>
    </xdr:to>
    <xdr:pic>
      <xdr:nvPicPr>
        <xdr:cNvPr id="2" name="Picture 1" descr="logo_detnov_CMYK_3D_transparente">
          <a:extLst>
            <a:ext uri="{FF2B5EF4-FFF2-40B4-BE49-F238E27FC236}">
              <a16:creationId xmlns:a16="http://schemas.microsoft.com/office/drawing/2014/main" id="{7510FD8E-9F15-4C28-AA72-0ABE4F82FA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2692083" cy="6509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284164</xdr:colOff>
      <xdr:row>3</xdr:row>
      <xdr:rowOff>132754</xdr:rowOff>
    </xdr:to>
    <xdr:pic>
      <xdr:nvPicPr>
        <xdr:cNvPr id="2" name="Picture 1" descr="logo_detnov_CMYK_3D_transparente">
          <a:extLst>
            <a:ext uri="{FF2B5EF4-FFF2-40B4-BE49-F238E27FC236}">
              <a16:creationId xmlns:a16="http://schemas.microsoft.com/office/drawing/2014/main" id="{CEA471F1-C784-4700-8DB1-18F5331E22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2692083" cy="6509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284164</xdr:colOff>
      <xdr:row>3</xdr:row>
      <xdr:rowOff>132754</xdr:rowOff>
    </xdr:to>
    <xdr:pic>
      <xdr:nvPicPr>
        <xdr:cNvPr id="2" name="Picture 1" descr="logo_detnov_CMYK_3D_transparente">
          <a:extLst>
            <a:ext uri="{FF2B5EF4-FFF2-40B4-BE49-F238E27FC236}">
              <a16:creationId xmlns:a16="http://schemas.microsoft.com/office/drawing/2014/main" id="{85E8F2CB-2CFD-464C-B1B2-2B244F3824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2692083" cy="6509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284164</xdr:colOff>
      <xdr:row>3</xdr:row>
      <xdr:rowOff>132754</xdr:rowOff>
    </xdr:to>
    <xdr:pic>
      <xdr:nvPicPr>
        <xdr:cNvPr id="2" name="Picture 1" descr="logo_detnov_CMYK_3D_transparente">
          <a:extLst>
            <a:ext uri="{FF2B5EF4-FFF2-40B4-BE49-F238E27FC236}">
              <a16:creationId xmlns:a16="http://schemas.microsoft.com/office/drawing/2014/main" id="{EC94CEC7-004F-4D07-A2F1-95955956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2692083" cy="6509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284164</xdr:colOff>
      <xdr:row>3</xdr:row>
      <xdr:rowOff>132754</xdr:rowOff>
    </xdr:to>
    <xdr:pic>
      <xdr:nvPicPr>
        <xdr:cNvPr id="2" name="Picture 1" descr="logo_detnov_CMYK_3D_transparente">
          <a:extLst>
            <a:ext uri="{FF2B5EF4-FFF2-40B4-BE49-F238E27FC236}">
              <a16:creationId xmlns:a16="http://schemas.microsoft.com/office/drawing/2014/main" id="{69CD32EA-3205-46FB-AF05-AC7C951B88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2692083" cy="6509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Q42"/>
  <sheetViews>
    <sheetView tabSelected="1" zoomScale="130" zoomScaleNormal="130" workbookViewId="0">
      <pane ySplit="7" topLeftCell="A8" activePane="bottomLeft" state="frozen"/>
      <selection pane="bottomLeft" activeCell="F10" sqref="F10"/>
    </sheetView>
  </sheetViews>
  <sheetFormatPr baseColWidth="10" defaultRowHeight="13.2" x14ac:dyDescent="0.25"/>
  <cols>
    <col min="1" max="1" width="24.21875" customWidth="1"/>
    <col min="2" max="2" width="12.33203125" customWidth="1"/>
    <col min="3" max="3" width="11.109375" customWidth="1"/>
    <col min="4" max="4" width="5.21875" customWidth="1"/>
    <col min="5" max="5" width="15.44140625" customWidth="1"/>
    <col min="6" max="6" width="7.44140625" customWidth="1"/>
    <col min="7" max="7" width="10.6640625" hidden="1" customWidth="1"/>
    <col min="8" max="8" width="15.5546875" customWidth="1"/>
    <col min="9" max="10" width="10.6640625" customWidth="1"/>
    <col min="12" max="12" width="12.44140625" bestFit="1" customWidth="1"/>
    <col min="14" max="16" width="11.5546875" customWidth="1"/>
  </cols>
  <sheetData>
    <row r="1" spans="1:17" x14ac:dyDescent="0.25">
      <c r="H1" s="1"/>
      <c r="I1" s="2"/>
    </row>
    <row r="2" spans="1:17" x14ac:dyDescent="0.25">
      <c r="E2" s="246"/>
      <c r="F2" s="14"/>
      <c r="G2" s="14"/>
      <c r="H2" s="247"/>
      <c r="I2" s="248"/>
      <c r="J2" s="14"/>
    </row>
    <row r="3" spans="1:17" ht="14.4" x14ac:dyDescent="0.3">
      <c r="A3" s="3"/>
      <c r="E3" s="246"/>
      <c r="F3" s="14"/>
      <c r="G3" s="14"/>
      <c r="H3" s="247"/>
      <c r="I3" s="248"/>
      <c r="J3" s="14"/>
    </row>
    <row r="4" spans="1:17" ht="14.4" x14ac:dyDescent="0.3">
      <c r="A4" s="3"/>
      <c r="E4" s="14"/>
      <c r="F4" s="14"/>
      <c r="G4" s="14"/>
      <c r="H4" s="247"/>
      <c r="I4" s="248"/>
      <c r="J4" s="14"/>
    </row>
    <row r="5" spans="1:17" ht="14.4" customHeight="1" x14ac:dyDescent="0.3">
      <c r="A5" s="3"/>
      <c r="E5" s="249"/>
      <c r="F5" s="249"/>
      <c r="G5" s="249"/>
      <c r="H5" s="249"/>
      <c r="I5" s="249"/>
      <c r="J5" s="249"/>
    </row>
    <row r="6" spans="1:17" ht="14.4" customHeight="1" x14ac:dyDescent="0.3">
      <c r="A6" s="3"/>
      <c r="E6" s="249"/>
      <c r="F6" s="249"/>
      <c r="G6" s="249"/>
      <c r="H6" s="249"/>
      <c r="I6" s="249"/>
      <c r="J6" s="249"/>
    </row>
    <row r="7" spans="1:17" s="7" customFormat="1" ht="13.8" thickBot="1" x14ac:dyDescent="0.3">
      <c r="A7" s="4" t="s">
        <v>191</v>
      </c>
      <c r="B7" s="4"/>
      <c r="C7" s="4"/>
      <c r="D7" s="4"/>
      <c r="E7" s="4"/>
      <c r="F7" s="4"/>
      <c r="G7" s="4"/>
      <c r="H7" s="6"/>
      <c r="I7" s="5"/>
      <c r="J7" s="16" t="s">
        <v>210</v>
      </c>
    </row>
    <row r="8" spans="1:17" s="7" customFormat="1" x14ac:dyDescent="0.25">
      <c r="A8" s="29"/>
      <c r="B8" s="29"/>
      <c r="C8" s="29"/>
      <c r="D8" s="29"/>
      <c r="E8" s="29"/>
      <c r="F8" s="29"/>
      <c r="G8" s="29"/>
      <c r="H8" s="36"/>
      <c r="I8" s="37"/>
      <c r="J8" s="38"/>
    </row>
    <row r="9" spans="1:17" s="7" customFormat="1" ht="13.8" thickBot="1" x14ac:dyDescent="0.3">
      <c r="A9" s="29"/>
      <c r="B9" s="29"/>
      <c r="C9" s="29"/>
      <c r="D9" s="29"/>
      <c r="E9" s="29"/>
      <c r="F9" s="29"/>
      <c r="H9" s="29"/>
      <c r="I9" s="15" t="s">
        <v>111</v>
      </c>
    </row>
    <row r="10" spans="1:17" s="7" customFormat="1" ht="15" thickBot="1" x14ac:dyDescent="0.3">
      <c r="A10" s="90" t="s">
        <v>78</v>
      </c>
      <c r="B10" s="9"/>
      <c r="C10" s="10"/>
      <c r="E10" s="29"/>
      <c r="F10" s="29"/>
      <c r="H10" s="91" t="s">
        <v>40</v>
      </c>
      <c r="I10" s="62"/>
      <c r="J10" s="38"/>
      <c r="N10" s="17"/>
      <c r="O10" s="17"/>
      <c r="P10" s="17"/>
      <c r="Q10"/>
    </row>
    <row r="11" spans="1:17" s="7" customFormat="1" x14ac:dyDescent="0.25">
      <c r="A11" s="33" t="s">
        <v>45</v>
      </c>
      <c r="B11" s="42">
        <v>72</v>
      </c>
      <c r="C11" s="18" t="s">
        <v>46</v>
      </c>
      <c r="D11" s="15" t="s">
        <v>59</v>
      </c>
      <c r="E11" s="29"/>
      <c r="F11" s="29"/>
      <c r="H11" s="25" t="s">
        <v>41</v>
      </c>
      <c r="I11" s="201" t="s">
        <v>180</v>
      </c>
      <c r="J11" s="11"/>
      <c r="L11" s="17"/>
      <c r="M11"/>
      <c r="N11"/>
      <c r="O11"/>
    </row>
    <row r="12" spans="1:17" ht="13.8" thickBot="1" x14ac:dyDescent="0.3">
      <c r="A12" s="26" t="s">
        <v>47</v>
      </c>
      <c r="B12" s="43">
        <v>30</v>
      </c>
      <c r="C12" s="34" t="s">
        <v>48</v>
      </c>
      <c r="D12" s="15" t="s">
        <v>60</v>
      </c>
      <c r="E12" s="29"/>
      <c r="F12" s="29"/>
      <c r="H12" s="39" t="s">
        <v>42</v>
      </c>
      <c r="I12" s="61">
        <v>0.1</v>
      </c>
      <c r="J12" s="28"/>
      <c r="M12" s="17"/>
    </row>
    <row r="13" spans="1:17" ht="14.4" thickBot="1" x14ac:dyDescent="0.35">
      <c r="B13" s="32" t="str">
        <f>IF(OR(B11=48,B11=24),"Note: this value does not comply with EN 54"," ")</f>
        <v xml:space="preserve"> </v>
      </c>
      <c r="F13" s="31"/>
      <c r="H13" s="39" t="s">
        <v>43</v>
      </c>
      <c r="I13" s="61">
        <v>0.5</v>
      </c>
      <c r="M13" s="17"/>
    </row>
    <row r="14" spans="1:17" ht="13.8" thickBot="1" x14ac:dyDescent="0.3">
      <c r="A14" s="90" t="s">
        <v>123</v>
      </c>
      <c r="B14" s="9"/>
      <c r="C14" s="10"/>
      <c r="E14" s="11"/>
      <c r="H14" s="26" t="s">
        <v>44</v>
      </c>
      <c r="I14" s="63">
        <v>0.5</v>
      </c>
      <c r="L14" s="17"/>
    </row>
    <row r="15" spans="1:17" x14ac:dyDescent="0.25">
      <c r="A15" s="96"/>
      <c r="B15" s="94" t="e">
        <f>IF(A15&lt;&gt;" ",VLOOKUP(A15,Datos!B4:D17,2,0),0)</f>
        <v>#N/A</v>
      </c>
      <c r="C15" s="95" t="e">
        <f>IF(A15&lt;&gt;" ",VLOOKUP(A15,Datos!B4:D17,3,0),0)</f>
        <v>#N/A</v>
      </c>
      <c r="D15" s="15" t="s">
        <v>79</v>
      </c>
      <c r="E15" s="11"/>
      <c r="L15" s="17"/>
    </row>
    <row r="16" spans="1:17" ht="14.4" thickBot="1" x14ac:dyDescent="0.35">
      <c r="A16" s="204"/>
      <c r="B16" s="205">
        <f>IFERROR(VLOOKUP(A16,Datos!F4:H7,2,0),0)</f>
        <v>0</v>
      </c>
      <c r="C16" s="206">
        <f>IFERROR(VLOOKUP(A16,Datos!F4:H7,3,0),0)</f>
        <v>0</v>
      </c>
      <c r="D16" s="15" t="s">
        <v>49</v>
      </c>
      <c r="E16" s="11"/>
      <c r="L16" s="17"/>
    </row>
    <row r="17" spans="1:17" ht="13.8" thickBot="1" x14ac:dyDescent="0.3">
      <c r="A17" s="212"/>
      <c r="B17" s="213" t="s">
        <v>38</v>
      </c>
      <c r="C17" s="214" t="s">
        <v>39</v>
      </c>
      <c r="D17" s="15"/>
      <c r="E17" s="11"/>
      <c r="I17" s="17"/>
      <c r="J17" s="17"/>
      <c r="L17" s="17"/>
      <c r="N17" s="17"/>
    </row>
    <row r="18" spans="1:17" x14ac:dyDescent="0.25">
      <c r="A18" s="75" t="s">
        <v>121</v>
      </c>
      <c r="B18" s="210"/>
      <c r="C18" s="211"/>
      <c r="D18" s="92"/>
      <c r="E18" s="77" t="str">
        <f>IF(C18&gt;0.5,"Warning: 500mA maximum current exceeded. External 24V needed","")</f>
        <v/>
      </c>
      <c r="I18" s="17"/>
      <c r="J18" s="17"/>
      <c r="M18" s="17"/>
      <c r="N18" s="17"/>
      <c r="O18" s="17"/>
      <c r="P18" s="17"/>
    </row>
    <row r="19" spans="1:17" x14ac:dyDescent="0.25">
      <c r="A19" s="75" t="s">
        <v>181</v>
      </c>
      <c r="B19" s="202"/>
      <c r="C19" s="203"/>
      <c r="E19" s="77" t="str">
        <f>IF(C19&gt;0.5,"Warning: 500mA maximum current exceeded. External 24V needed","")</f>
        <v/>
      </c>
      <c r="M19" s="17"/>
      <c r="N19" s="17"/>
      <c r="O19" s="17"/>
      <c r="P19" s="17"/>
    </row>
    <row r="20" spans="1:17" ht="13.8" thickBot="1" x14ac:dyDescent="0.3">
      <c r="A20" s="207" t="s">
        <v>182</v>
      </c>
      <c r="B20" s="208"/>
      <c r="C20" s="209"/>
      <c r="E20" s="77"/>
      <c r="M20" s="17"/>
      <c r="N20" s="17"/>
      <c r="O20" s="17"/>
      <c r="P20" s="17"/>
    </row>
    <row r="21" spans="1:17" ht="13.8" thickBot="1" x14ac:dyDescent="0.3">
      <c r="A21" s="33" t="s">
        <v>53</v>
      </c>
      <c r="B21" s="64" t="e">
        <f>B15+B18+B19+B20+B38+H36</f>
        <v>#N/A</v>
      </c>
      <c r="C21" s="18" t="s">
        <v>9</v>
      </c>
      <c r="E21" s="108" t="s">
        <v>127</v>
      </c>
      <c r="H21" s="8" t="s">
        <v>124</v>
      </c>
      <c r="I21" s="9"/>
      <c r="J21" s="79"/>
      <c r="K21" s="80" t="s">
        <v>19</v>
      </c>
      <c r="N21" s="14"/>
      <c r="O21" s="30"/>
      <c r="P21" s="14"/>
      <c r="Q21" s="14"/>
    </row>
    <row r="22" spans="1:17" ht="13.8" thickBot="1" x14ac:dyDescent="0.3">
      <c r="A22" s="26" t="s">
        <v>54</v>
      </c>
      <c r="B22" s="65" t="e">
        <f>C38+C15+C18+C19+C20+H36</f>
        <v>#N/A</v>
      </c>
      <c r="C22" s="34" t="s">
        <v>9</v>
      </c>
      <c r="E22" s="175" t="e">
        <f>B23</f>
        <v>#N/A</v>
      </c>
      <c r="H22" s="84" t="s">
        <v>126</v>
      </c>
      <c r="I22" s="236" t="s">
        <v>208</v>
      </c>
      <c r="J22" s="85" t="s">
        <v>119</v>
      </c>
      <c r="K22" s="86" t="s">
        <v>120</v>
      </c>
      <c r="N22" s="14"/>
      <c r="O22" s="30"/>
      <c r="P22" s="14"/>
      <c r="Q22" s="14"/>
    </row>
    <row r="23" spans="1:17" s="14" customFormat="1" ht="13.8" thickBot="1" x14ac:dyDescent="0.3">
      <c r="A23" s="176" t="s">
        <v>55</v>
      </c>
      <c r="B23" s="66" t="e">
        <f>1.25*C23</f>
        <v>#N/A</v>
      </c>
      <c r="C23" s="76" t="e">
        <f>(B21*B11)+(B22*(B12/60))</f>
        <v>#N/A</v>
      </c>
      <c r="D23" s="106" t="e">
        <f>ROUNDUP(B23,1)</f>
        <v>#N/A</v>
      </c>
      <c r="E23" s="12"/>
      <c r="F23" s="13"/>
      <c r="H23" s="81" t="e">
        <f>((7.5/1.25)-($B$22*($B$12/60)))/$B$21</f>
        <v>#N/A</v>
      </c>
      <c r="I23" s="82" t="e">
        <f>((12/1.25)-($B$22*($B$12/60)))/$B$21</f>
        <v>#N/A</v>
      </c>
      <c r="J23" s="82" t="e">
        <f>((18/1.25)-($B$22*($B$12/60)))/$B$21</f>
        <v>#N/A</v>
      </c>
      <c r="K23" s="83" t="e">
        <f>((24/1.25)-($B$22*($B$12/60)))/$B$21</f>
        <v>#N/A</v>
      </c>
      <c r="N23"/>
      <c r="O23" s="30"/>
      <c r="P23"/>
      <c r="Q23"/>
    </row>
    <row r="24" spans="1:17" s="14" customFormat="1" x14ac:dyDescent="0.25">
      <c r="A24" s="12" t="s">
        <v>56</v>
      </c>
      <c r="B24" s="67" t="e">
        <f>IF(B23&lt;=$C$16,"OK","Need battery:")</f>
        <v>#N/A</v>
      </c>
      <c r="C24" s="107" t="e">
        <f>IF(B24&lt;&gt;"OK",INDEX(Datos!J4:J7,'System Calculation'!D24)," ")</f>
        <v>#N/A</v>
      </c>
      <c r="D24" s="196" t="e">
        <f>MATCH(D23,Datos!I4:I7,-1)</f>
        <v>#N/A</v>
      </c>
      <c r="E24" s="197"/>
      <c r="F24" s="13"/>
      <c r="G24" s="13"/>
      <c r="H24" s="93" t="s">
        <v>196</v>
      </c>
    </row>
    <row r="25" spans="1:17" x14ac:dyDescent="0.25">
      <c r="A25" s="14"/>
      <c r="B25" s="107" t="e">
        <f>IF(E22&gt;24,"Need external power supply:")</f>
        <v>#N/A</v>
      </c>
      <c r="D25" s="14"/>
      <c r="E25" s="32" t="e">
        <f>IF($B$25&lt;&gt;FALSE,Datos!I34," ")</f>
        <v>#N/A</v>
      </c>
      <c r="H25" s="93" t="s">
        <v>209</v>
      </c>
    </row>
    <row r="26" spans="1:17" s="7" customFormat="1" x14ac:dyDescent="0.25">
      <c r="A26" s="29"/>
      <c r="B26" s="77"/>
      <c r="C26" s="29"/>
      <c r="D26" s="29"/>
      <c r="E26" s="32"/>
      <c r="F26" s="77"/>
      <c r="G26" s="77"/>
      <c r="H26" s="200"/>
      <c r="I26" s="32"/>
      <c r="J26" s="32"/>
      <c r="K26" s="32"/>
    </row>
    <row r="27" spans="1:17" s="7" customFormat="1" x14ac:dyDescent="0.25">
      <c r="A27" s="29"/>
      <c r="B27" s="77"/>
      <c r="C27" s="29"/>
      <c r="D27" s="29"/>
      <c r="E27" s="29"/>
      <c r="F27" s="29"/>
      <c r="G27" s="29"/>
      <c r="H27" s="36"/>
      <c r="I27" s="37"/>
      <c r="J27" s="38"/>
    </row>
    <row r="28" spans="1:17" ht="13.8" thickBot="1" x14ac:dyDescent="0.3">
      <c r="F28" s="15" t="s">
        <v>125</v>
      </c>
    </row>
    <row r="29" spans="1:17" s="7" customFormat="1" ht="13.8" thickBot="1" x14ac:dyDescent="0.3">
      <c r="A29" s="89" t="s">
        <v>62</v>
      </c>
      <c r="B29" s="87" t="s">
        <v>38</v>
      </c>
      <c r="C29" s="88" t="s">
        <v>39</v>
      </c>
      <c r="E29" s="99" t="s">
        <v>112</v>
      </c>
      <c r="F29" s="97" t="s">
        <v>1</v>
      </c>
      <c r="G29" s="97" t="s">
        <v>38</v>
      </c>
      <c r="H29" s="100" t="s">
        <v>38</v>
      </c>
    </row>
    <row r="30" spans="1:17" ht="13.8" thickBot="1" x14ac:dyDescent="0.3">
      <c r="A30" s="21" t="s">
        <v>63</v>
      </c>
      <c r="B30" s="231">
        <f>'SC_Loop 1'!$D$63</f>
        <v>0</v>
      </c>
      <c r="C30" s="232">
        <f>'SC_Loop 1'!$G$63</f>
        <v>0</v>
      </c>
      <c r="E30" s="78" t="s">
        <v>113</v>
      </c>
      <c r="F30" s="23">
        <v>0</v>
      </c>
      <c r="G30" s="64">
        <v>0.05</v>
      </c>
      <c r="H30" s="69">
        <f t="shared" ref="H30:H35" si="0">F30*G30</f>
        <v>0</v>
      </c>
    </row>
    <row r="31" spans="1:17" ht="13.8" thickBot="1" x14ac:dyDescent="0.3">
      <c r="A31" s="22" t="s">
        <v>64</v>
      </c>
      <c r="B31" s="68">
        <f>'SC_Loop 2'!$D$63</f>
        <v>0</v>
      </c>
      <c r="C31" s="69">
        <f>'SC_Loop 2'!$G$63</f>
        <v>0</v>
      </c>
      <c r="D31" s="30"/>
      <c r="E31" s="78" t="s">
        <v>114</v>
      </c>
      <c r="F31" s="23">
        <v>0</v>
      </c>
      <c r="G31" s="64">
        <v>0.05</v>
      </c>
      <c r="H31" s="69">
        <f t="shared" si="0"/>
        <v>0</v>
      </c>
    </row>
    <row r="32" spans="1:17" ht="13.8" thickBot="1" x14ac:dyDescent="0.3">
      <c r="A32" s="22" t="s">
        <v>65</v>
      </c>
      <c r="B32" s="68">
        <f>'SC_Loop 3'!$D$63</f>
        <v>0</v>
      </c>
      <c r="C32" s="69">
        <f>'SC_Loop 3'!$G$63</f>
        <v>0</v>
      </c>
      <c r="E32" s="78" t="s">
        <v>115</v>
      </c>
      <c r="F32" s="23">
        <v>0</v>
      </c>
      <c r="G32" s="64">
        <v>0.05</v>
      </c>
      <c r="H32" s="69">
        <f t="shared" si="0"/>
        <v>0</v>
      </c>
    </row>
    <row r="33" spans="1:10" ht="13.8" thickBot="1" x14ac:dyDescent="0.3">
      <c r="A33" s="22" t="s">
        <v>66</v>
      </c>
      <c r="B33" s="68">
        <f>'SC_Loop 4'!$D$63</f>
        <v>0</v>
      </c>
      <c r="C33" s="69">
        <f>'SC_Loop 4'!$G$63</f>
        <v>0</v>
      </c>
      <c r="E33" s="78" t="s">
        <v>116</v>
      </c>
      <c r="F33" s="23">
        <v>0</v>
      </c>
      <c r="G33" s="64">
        <v>0.05</v>
      </c>
      <c r="H33" s="69">
        <f t="shared" si="0"/>
        <v>0</v>
      </c>
    </row>
    <row r="34" spans="1:10" ht="13.8" thickBot="1" x14ac:dyDescent="0.3">
      <c r="A34" s="22" t="s">
        <v>67</v>
      </c>
      <c r="B34" s="68">
        <f>'SC_Loop 5'!$D$63</f>
        <v>0</v>
      </c>
      <c r="C34" s="69">
        <f>'SC_Loop 5'!$G$63</f>
        <v>0</v>
      </c>
      <c r="E34" s="78" t="s">
        <v>117</v>
      </c>
      <c r="F34" s="23">
        <v>0</v>
      </c>
      <c r="G34" s="64">
        <v>0.05</v>
      </c>
      <c r="H34" s="69">
        <f t="shared" si="0"/>
        <v>0</v>
      </c>
    </row>
    <row r="35" spans="1:10" ht="13.8" thickBot="1" x14ac:dyDescent="0.3">
      <c r="A35" s="22" t="s">
        <v>68</v>
      </c>
      <c r="B35" s="68">
        <f>'SC_Loop 6'!$D$63</f>
        <v>0</v>
      </c>
      <c r="C35" s="69">
        <f>'SC_Loop 6'!$G$63</f>
        <v>0</v>
      </c>
      <c r="E35" s="104" t="s">
        <v>118</v>
      </c>
      <c r="F35" s="27">
        <v>0</v>
      </c>
      <c r="G35" s="64">
        <v>0.05</v>
      </c>
      <c r="H35" s="105">
        <f t="shared" si="0"/>
        <v>0</v>
      </c>
    </row>
    <row r="36" spans="1:10" ht="13.8" thickBot="1" x14ac:dyDescent="0.3">
      <c r="A36" s="22" t="s">
        <v>69</v>
      </c>
      <c r="B36" s="68">
        <f>'SC_Loop 7'!$D$63</f>
        <v>0</v>
      </c>
      <c r="C36" s="69">
        <f>'SC_Loop 7'!$G$63</f>
        <v>0</v>
      </c>
      <c r="E36" s="101"/>
      <c r="F36" s="102">
        <f>SUM(F30:F35)</f>
        <v>0</v>
      </c>
      <c r="G36" s="98"/>
      <c r="H36" s="103">
        <f>SUM(H30:H35)</f>
        <v>0</v>
      </c>
    </row>
    <row r="37" spans="1:10" ht="13.8" thickBot="1" x14ac:dyDescent="0.3">
      <c r="A37" s="22" t="s">
        <v>70</v>
      </c>
      <c r="B37" s="68">
        <f>'SC_Loop 8'!$D$63</f>
        <v>0</v>
      </c>
      <c r="C37" s="69">
        <f>'SC_Loop 8'!$G$63</f>
        <v>0</v>
      </c>
      <c r="E37" s="32"/>
      <c r="F37" s="32" t="str">
        <f>IF(F36&gt;1,"Warning: maximum 1 communication card in the control panel","")</f>
        <v/>
      </c>
    </row>
    <row r="38" spans="1:10" s="7" customFormat="1" ht="13.8" thickBot="1" x14ac:dyDescent="0.3">
      <c r="A38" s="19" t="s">
        <v>8</v>
      </c>
      <c r="B38" s="70">
        <f>SUM(B30:B37)</f>
        <v>0</v>
      </c>
      <c r="C38" s="71">
        <f>SUM(C30:C37)</f>
        <v>0</v>
      </c>
      <c r="E38"/>
      <c r="F38"/>
      <c r="G38"/>
      <c r="H38"/>
    </row>
    <row r="39" spans="1:10" ht="14.4" customHeight="1" x14ac:dyDescent="0.25"/>
    <row r="40" spans="1:10" ht="14.4" customHeight="1" x14ac:dyDescent="0.25">
      <c r="E40" s="174"/>
      <c r="F40" s="174"/>
      <c r="G40" s="174"/>
      <c r="H40" s="174"/>
    </row>
    <row r="41" spans="1:10" x14ac:dyDescent="0.25">
      <c r="E41" s="215"/>
      <c r="F41" s="215"/>
      <c r="G41" s="215"/>
      <c r="H41" s="215"/>
    </row>
    <row r="42" spans="1:10" ht="27" customHeight="1" x14ac:dyDescent="0.25">
      <c r="A42" s="237" t="s">
        <v>13</v>
      </c>
      <c r="B42" s="237"/>
      <c r="C42" s="237"/>
      <c r="D42" s="237"/>
      <c r="E42" s="237"/>
      <c r="F42" s="237"/>
      <c r="G42" s="237"/>
      <c r="H42" s="237"/>
      <c r="I42" s="237"/>
      <c r="J42" s="237"/>
    </row>
  </sheetData>
  <sheetProtection algorithmName="SHA-512" hashValue="j2XGpBc+LwNU5P1CeO8IBuwyjTlvCr9MOumpTn/pvx9mSABTYuNw/XXgP8k0m0XTGbd6sHpEA6l8lrysG0/7ag==" saltValue="Da9+o9VwTE4vORjn3L1Rvg==" spinCount="100000" sheet="1" sort="0" autoFilter="0" pivotTables="0"/>
  <mergeCells count="1">
    <mergeCell ref="A42:J42"/>
  </mergeCells>
  <phoneticPr fontId="0" type="noConversion"/>
  <conditionalFormatting sqref="B24">
    <cfRule type="beginsWith" dxfId="218" priority="11" operator="beginsWith" text="Need">
      <formula>LEFT(B24,LEN("Need"))="Need"</formula>
    </cfRule>
    <cfRule type="containsText" dxfId="217" priority="12" operator="containsText" text="OK">
      <formula>NOT(ISERROR(SEARCH("OK",B24)))</formula>
    </cfRule>
  </conditionalFormatting>
  <conditionalFormatting sqref="H23:K23">
    <cfRule type="cellIs" dxfId="216" priority="9" operator="lessThan">
      <formula>$B$11</formula>
    </cfRule>
  </conditionalFormatting>
  <conditionalFormatting sqref="B25">
    <cfRule type="containsText" dxfId="215" priority="8" operator="containsText" text="FALSO">
      <formula>NOT(ISERROR(SEARCH("FALSO",B25)))</formula>
    </cfRule>
  </conditionalFormatting>
  <conditionalFormatting sqref="C24 H23:K23">
    <cfRule type="containsErrors" dxfId="214" priority="7">
      <formula>ISERROR(C23)</formula>
    </cfRule>
  </conditionalFormatting>
  <conditionalFormatting sqref="D24">
    <cfRule type="containsErrors" dxfId="213" priority="6">
      <formula>ISERROR(D24)</formula>
    </cfRule>
  </conditionalFormatting>
  <conditionalFormatting sqref="B26 E26">
    <cfRule type="containsErrors" dxfId="212" priority="5">
      <formula>ISERROR(B26)</formula>
    </cfRule>
  </conditionalFormatting>
  <conditionalFormatting sqref="K26">
    <cfRule type="containsErrors" dxfId="211" priority="4">
      <formula>ISERROR(K26)</formula>
    </cfRule>
  </conditionalFormatting>
  <conditionalFormatting sqref="B21:B27">
    <cfRule type="containsErrors" dxfId="210" priority="3">
      <formula>ISERROR(B21)</formula>
    </cfRule>
  </conditionalFormatting>
  <conditionalFormatting sqref="C23:E26">
    <cfRule type="containsErrors" dxfId="209" priority="2">
      <formula>ISERROR(C23)</formula>
    </cfRule>
  </conditionalFormatting>
  <conditionalFormatting sqref="E22">
    <cfRule type="containsErrors" dxfId="208" priority="1">
      <formula>ISERROR(E22)</formula>
    </cfRule>
  </conditionalFormatting>
  <dataValidations disablePrompts="1" xWindow="184" yWindow="607" count="3">
    <dataValidation type="list" allowBlank="1" showInputMessage="1" showErrorMessage="1" promptTitle="Control panel batteries list" prompt="If control panel is changed, select the batteries according to new panel" sqref="A16" xr:uid="{D4BEC6C3-5D66-414A-B1B6-5009C778E994}">
      <formula1>INDIRECT($A$15)</formula1>
    </dataValidation>
    <dataValidation type="list" allowBlank="1" showInputMessage="1" showErrorMessage="1" prompt="If control panel is changed, select the batterie according to new panel" sqref="A15" xr:uid="{A4C2F7A5-8AD8-411C-B2BD-B47F178F91D0}">
      <formula1>Centrales</formula1>
    </dataValidation>
    <dataValidation allowBlank="1" showInputMessage="1" showErrorMessage="1" promptTitle="Control panel batteries list" prompt="If control panel is changed, select the batteries according to new panel" sqref="A17" xr:uid="{30903E37-0F9F-4E1D-904D-B74C5D2DB9EE}"/>
  </dataValidations>
  <pageMargins left="0.78740157480314965" right="0.39370078740157483" top="0.39370078740157483" bottom="0.39370078740157483" header="0" footer="0"/>
  <pageSetup paperSize="9" scale="87" orientation="portrait" horizontalDpi="1200" verticalDpi="1200" r:id="rId1"/>
  <headerFooter alignWithMargins="0"/>
  <drawing r:id="rId2"/>
  <extLst>
    <ext xmlns:x14="http://schemas.microsoft.com/office/spreadsheetml/2009/9/main" uri="{CCE6A557-97BC-4b89-ADB6-D9C93CAAB3DF}">
      <x14:dataValidations xmlns:xm="http://schemas.microsoft.com/office/excel/2006/main" disablePrompts="1" xWindow="184" yWindow="607" count="3">
        <x14:dataValidation type="list" allowBlank="1" showInputMessage="1" showErrorMessage="1" xr:uid="{BC28AFA3-4724-4C4A-87D5-598D22F9CD91}">
          <x14:formula1>
            <xm:f>Datos!$F$12:$F$13</xm:f>
          </x14:formula1>
          <xm:sqref>F30:F35</xm:sqref>
        </x14:dataValidation>
        <x14:dataValidation type="list" allowBlank="1" showInputMessage="1" showErrorMessage="1" xr:uid="{32D5377E-EF7D-471D-971A-0C8C3E32D587}">
          <x14:formula1>
            <xm:f>Datos!$D$21:$D$24</xm:f>
          </x14:formula1>
          <xm:sqref>B12</xm:sqref>
        </x14:dataValidation>
        <x14:dataValidation type="list" allowBlank="1" showInputMessage="1" showErrorMessage="1" xr:uid="{30572B37-9CE0-4496-9299-509A6D22F983}">
          <x14:formula1>
            <xm:f>Datos!$C$21:$C$25</xm:f>
          </x14:formula1>
          <xm:sqref>B11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43391-7C8B-45E0-8C87-234855290727}">
  <sheetPr codeName="Hoja10">
    <pageSetUpPr fitToPage="1"/>
  </sheetPr>
  <dimension ref="A1:N97"/>
  <sheetViews>
    <sheetView zoomScale="120" zoomScaleNormal="120" workbookViewId="0">
      <pane xSplit="12" ySplit="14" topLeftCell="M15" activePane="bottomRight" state="frozen"/>
      <selection activeCell="A64" sqref="A64"/>
      <selection pane="topRight" activeCell="A64" sqref="A64"/>
      <selection pane="bottomLeft" activeCell="A64" sqref="A64"/>
      <selection pane="bottomRight" activeCell="D16" sqref="D16"/>
    </sheetView>
  </sheetViews>
  <sheetFormatPr baseColWidth="10" defaultRowHeight="13.2" x14ac:dyDescent="0.25"/>
  <cols>
    <col min="1" max="1" width="35.109375" customWidth="1"/>
    <col min="2" max="2" width="10.6640625" customWidth="1"/>
    <col min="3" max="3" width="11.109375" hidden="1" customWidth="1"/>
    <col min="4" max="4" width="12.77734375" customWidth="1"/>
    <col min="5" max="6" width="10.6640625" hidden="1" customWidth="1"/>
    <col min="7" max="7" width="10.5546875" bestFit="1" customWidth="1"/>
    <col min="8" max="8" width="10.6640625" customWidth="1"/>
    <col min="9" max="9" width="5.5546875" bestFit="1" customWidth="1"/>
    <col min="10" max="10" width="7" customWidth="1"/>
    <col min="11" max="11" width="6.44140625" customWidth="1"/>
    <col min="12" max="12" width="6.5546875" customWidth="1"/>
    <col min="14" max="16" width="11.5546875" customWidth="1"/>
  </cols>
  <sheetData>
    <row r="1" spans="1:14" x14ac:dyDescent="0.25">
      <c r="H1" s="1"/>
      <c r="I1" s="2"/>
      <c r="J1" s="2"/>
      <c r="K1" s="2"/>
    </row>
    <row r="2" spans="1:14" x14ac:dyDescent="0.25">
      <c r="H2" s="1"/>
      <c r="I2" s="2"/>
      <c r="J2" s="2"/>
      <c r="K2" s="2"/>
    </row>
    <row r="3" spans="1:14" ht="14.4" x14ac:dyDescent="0.3">
      <c r="A3" s="3"/>
      <c r="H3" s="1"/>
      <c r="I3" s="2"/>
      <c r="J3" s="2"/>
      <c r="K3" s="2"/>
    </row>
    <row r="4" spans="1:14" ht="14.4" x14ac:dyDescent="0.3">
      <c r="A4" s="3"/>
      <c r="H4" s="1"/>
      <c r="I4" s="2"/>
      <c r="J4" s="2"/>
      <c r="K4" s="2"/>
    </row>
    <row r="5" spans="1:14" s="7" customFormat="1" ht="13.8" thickBot="1" x14ac:dyDescent="0.3">
      <c r="A5" s="4" t="str">
        <f>'System Calculation'!A7</f>
        <v>SYSTEM CALCULATOR DETNOV CAD-150 EXCEL TOOL</v>
      </c>
      <c r="B5" s="4"/>
      <c r="C5" s="4"/>
      <c r="D5" s="4"/>
      <c r="E5" s="4"/>
      <c r="F5" s="4"/>
      <c r="G5" s="4"/>
      <c r="H5" s="6"/>
      <c r="I5" s="5"/>
      <c r="J5" s="5"/>
      <c r="K5" s="5"/>
      <c r="L5" s="16" t="str">
        <f>'System Calculation'!J7</f>
        <v>SC 116 en 2019 f</v>
      </c>
    </row>
    <row r="6" spans="1:14" s="7" customFormat="1" ht="13.8" thickBot="1" x14ac:dyDescent="0.3">
      <c r="B6" s="29"/>
      <c r="C6" s="29"/>
      <c r="D6" s="29"/>
      <c r="E6" s="29"/>
      <c r="F6" s="29"/>
      <c r="G6" s="29"/>
      <c r="H6" s="36"/>
      <c r="I6" s="37"/>
      <c r="J6" s="37"/>
      <c r="K6" s="37"/>
      <c r="L6" s="38"/>
    </row>
    <row r="7" spans="1:14" s="7" customFormat="1" ht="13.8" thickBot="1" x14ac:dyDescent="0.3">
      <c r="A7" s="19" t="s">
        <v>62</v>
      </c>
      <c r="B7" s="115"/>
      <c r="C7" s="115"/>
      <c r="D7" s="116"/>
      <c r="E7" s="29"/>
      <c r="F7" s="29"/>
      <c r="G7" s="29"/>
      <c r="H7" s="36"/>
      <c r="J7" s="239" t="s">
        <v>134</v>
      </c>
      <c r="K7" s="243"/>
      <c r="L7" s="135"/>
      <c r="M7" s="38"/>
    </row>
    <row r="8" spans="1:14" s="7" customFormat="1" ht="13.8" thickBot="1" x14ac:dyDescent="0.3">
      <c r="A8" s="111" t="s">
        <v>129</v>
      </c>
      <c r="B8" s="117">
        <v>1.5</v>
      </c>
      <c r="C8" s="113"/>
      <c r="D8" s="114" t="s">
        <v>131</v>
      </c>
      <c r="E8" s="29"/>
      <c r="F8" s="29"/>
      <c r="G8" s="244" t="str">
        <f>IF(B9&gt;3500,"Error: The Maximum Lenght in the Line is 3500 m","")</f>
        <v/>
      </c>
      <c r="H8" s="244"/>
      <c r="I8" s="245"/>
      <c r="J8" s="239" t="s">
        <v>135</v>
      </c>
      <c r="K8" s="240"/>
      <c r="L8" s="159" t="str">
        <f>IF($B$71&gt;0.4,"FAIL",IF($B$91&gt;=$B$71,"OK","FAIL"))</f>
        <v>OK</v>
      </c>
      <c r="N8" s="150" t="str">
        <f>IF($B$71&gt;0.4,"Error: The Loop Current is upper that Maximum Current allowed",IF($B$91&lt;$B$71,"Error: The Loop Current is upper that Maximum Current allowed",""))</f>
        <v/>
      </c>
    </row>
    <row r="9" spans="1:14" s="7" customFormat="1" ht="13.8" thickBot="1" x14ac:dyDescent="0.3">
      <c r="A9" s="26" t="s">
        <v>130</v>
      </c>
      <c r="B9" s="118">
        <v>2000</v>
      </c>
      <c r="C9" s="110"/>
      <c r="D9" s="34" t="s">
        <v>132</v>
      </c>
      <c r="E9" s="29"/>
      <c r="F9" s="29"/>
      <c r="G9" s="244"/>
      <c r="H9" s="244"/>
      <c r="I9" s="245"/>
      <c r="J9" s="241" t="s">
        <v>136</v>
      </c>
      <c r="K9" s="242"/>
      <c r="L9" s="157" t="str">
        <f>IF($L$63&lt;=250,"OK","FAIL")</f>
        <v>OK</v>
      </c>
      <c r="N9" s="150" t="str">
        <f>IF($L$63&gt;250,"Error: The Loop cannot contain more than 250 addresses","")</f>
        <v/>
      </c>
    </row>
    <row r="10" spans="1:14" s="7" customFormat="1" x14ac:dyDescent="0.25">
      <c r="A10" s="149" t="s">
        <v>150</v>
      </c>
      <c r="B10" s="29"/>
      <c r="C10" s="29"/>
      <c r="D10" s="29"/>
      <c r="E10" s="29"/>
      <c r="F10" s="29"/>
      <c r="G10" s="29"/>
      <c r="H10" s="36"/>
      <c r="I10" s="37"/>
      <c r="J10" s="37"/>
      <c r="K10" s="37"/>
      <c r="L10" s="38"/>
    </row>
    <row r="11" spans="1:14" s="7" customFormat="1" x14ac:dyDescent="0.25">
      <c r="A11" s="149"/>
      <c r="B11" s="29"/>
      <c r="C11" s="29"/>
      <c r="D11" s="29"/>
      <c r="E11" s="29"/>
      <c r="F11" s="29"/>
      <c r="G11" s="29"/>
      <c r="H11" s="36"/>
      <c r="I11" s="37"/>
      <c r="J11" s="37"/>
      <c r="K11" s="37"/>
      <c r="L11" s="38"/>
    </row>
    <row r="12" spans="1:14" ht="13.8" thickBot="1" x14ac:dyDescent="0.3">
      <c r="B12" s="40" t="s">
        <v>10</v>
      </c>
      <c r="C12" s="15" t="s">
        <v>10</v>
      </c>
    </row>
    <row r="13" spans="1:14" ht="13.8" thickBot="1" x14ac:dyDescent="0.3">
      <c r="A13" s="8" t="s">
        <v>179</v>
      </c>
      <c r="B13" s="9"/>
      <c r="C13" s="9"/>
      <c r="D13" s="9"/>
      <c r="E13" s="9"/>
      <c r="F13" s="9"/>
      <c r="G13" s="9"/>
      <c r="H13" s="147"/>
      <c r="I13" s="147"/>
      <c r="J13" s="147"/>
      <c r="K13" s="147"/>
      <c r="L13" s="148"/>
    </row>
    <row r="14" spans="1:14" s="7" customFormat="1" ht="13.8" thickBot="1" x14ac:dyDescent="0.3">
      <c r="A14" s="143" t="s">
        <v>0</v>
      </c>
      <c r="B14" s="144" t="s">
        <v>1</v>
      </c>
      <c r="C14" s="144" t="s">
        <v>38</v>
      </c>
      <c r="D14" s="144" t="s">
        <v>38</v>
      </c>
      <c r="E14" s="144" t="s">
        <v>110</v>
      </c>
      <c r="F14" s="144" t="s">
        <v>39</v>
      </c>
      <c r="G14" s="144" t="s">
        <v>39</v>
      </c>
      <c r="H14" s="145" t="s">
        <v>133</v>
      </c>
      <c r="I14" s="145" t="s">
        <v>146</v>
      </c>
      <c r="J14" s="145" t="s">
        <v>147</v>
      </c>
      <c r="K14" s="145" t="s">
        <v>148</v>
      </c>
      <c r="L14" s="146" t="s">
        <v>149</v>
      </c>
    </row>
    <row r="15" spans="1:14" x14ac:dyDescent="0.25">
      <c r="A15" s="132" t="str">
        <f>'SC_Loop 1'!A15</f>
        <v>DOD-220A</v>
      </c>
      <c r="B15" s="112"/>
      <c r="C15" s="198">
        <f>'SC_Loop 1'!C15</f>
        <v>2.9999999999999997E-4</v>
      </c>
      <c r="D15" s="133">
        <f>B15*C15</f>
        <v>0</v>
      </c>
      <c r="E15" s="234">
        <f>IF(B15&gt;10,10,B15)</f>
        <v>0</v>
      </c>
      <c r="F15" s="198">
        <f>'SC_Loop 1'!F15</f>
        <v>3.0000000000000001E-3</v>
      </c>
      <c r="G15" s="133">
        <f>E15*F15</f>
        <v>0</v>
      </c>
      <c r="H15" s="52"/>
      <c r="I15" s="52" t="str">
        <f t="shared" ref="I15:I26" si="0">IF(B15&lt;&gt;0,B15," ")</f>
        <v xml:space="preserve"> </v>
      </c>
      <c r="J15" s="52"/>
      <c r="K15" s="52"/>
      <c r="L15" s="134" t="str">
        <f>IF(I15&lt;&gt;0,I15," ")</f>
        <v xml:space="preserve"> </v>
      </c>
    </row>
    <row r="16" spans="1:14" x14ac:dyDescent="0.25">
      <c r="A16" s="22" t="str">
        <f>'SC_Loop 1'!A16</f>
        <v>DOD-220A-I</v>
      </c>
      <c r="B16" s="23"/>
      <c r="C16" s="24">
        <f>'SC_Loop 1'!C16</f>
        <v>2.9999999999999997E-4</v>
      </c>
      <c r="D16" s="68">
        <f>B16*C16</f>
        <v>0</v>
      </c>
      <c r="E16" s="234">
        <f t="shared" ref="E16:E22" si="1">IF(B16&gt;10,10,B16)</f>
        <v>0</v>
      </c>
      <c r="F16" s="24">
        <f>'SC_Loop 1'!F16</f>
        <v>3.0000000000000001E-3</v>
      </c>
      <c r="G16" s="68">
        <f>E16*F16</f>
        <v>0</v>
      </c>
      <c r="H16" s="60"/>
      <c r="I16" s="60" t="str">
        <f t="shared" si="0"/>
        <v xml:space="preserve"> </v>
      </c>
      <c r="J16" s="60"/>
      <c r="K16" s="60"/>
      <c r="L16" s="123" t="str">
        <f t="shared" ref="L16:L26" si="2">IF(I16&lt;&gt;0,I16," ")</f>
        <v xml:space="preserve"> </v>
      </c>
    </row>
    <row r="17" spans="1:12" x14ac:dyDescent="0.25">
      <c r="A17" s="22" t="str">
        <f>'SC_Loop 1'!A17</f>
        <v>DOTD-230A</v>
      </c>
      <c r="B17" s="23"/>
      <c r="C17" s="24">
        <f>'SC_Loop 1'!C17</f>
        <v>2.9999999999999997E-4</v>
      </c>
      <c r="D17" s="68">
        <f t="shared" ref="D17:D62" si="3">B17*C17</f>
        <v>0</v>
      </c>
      <c r="E17" s="234">
        <f t="shared" si="1"/>
        <v>0</v>
      </c>
      <c r="F17" s="24">
        <f>'SC_Loop 1'!F17</f>
        <v>3.0000000000000001E-3</v>
      </c>
      <c r="G17" s="68">
        <f t="shared" ref="G17:G62" si="4">E17*F17</f>
        <v>0</v>
      </c>
      <c r="H17" s="60"/>
      <c r="I17" s="60" t="str">
        <f t="shared" si="0"/>
        <v xml:space="preserve"> </v>
      </c>
      <c r="J17" s="60"/>
      <c r="K17" s="60"/>
      <c r="L17" s="123" t="str">
        <f t="shared" si="2"/>
        <v xml:space="preserve"> </v>
      </c>
    </row>
    <row r="18" spans="1:12" x14ac:dyDescent="0.25">
      <c r="A18" s="22" t="str">
        <f>'SC_Loop 1'!A18</f>
        <v>DOTD-230A-I</v>
      </c>
      <c r="B18" s="23"/>
      <c r="C18" s="24">
        <f>'SC_Loop 1'!C18</f>
        <v>2.9999999999999997E-4</v>
      </c>
      <c r="D18" s="68">
        <f t="shared" si="3"/>
        <v>0</v>
      </c>
      <c r="E18" s="234">
        <f t="shared" si="1"/>
        <v>0</v>
      </c>
      <c r="F18" s="24">
        <f>'SC_Loop 1'!F18</f>
        <v>3.0000000000000001E-3</v>
      </c>
      <c r="G18" s="68">
        <f t="shared" si="4"/>
        <v>0</v>
      </c>
      <c r="H18" s="60"/>
      <c r="I18" s="60" t="str">
        <f t="shared" si="0"/>
        <v xml:space="preserve"> </v>
      </c>
      <c r="J18" s="60"/>
      <c r="K18" s="60"/>
      <c r="L18" s="123" t="str">
        <f t="shared" si="2"/>
        <v xml:space="preserve"> </v>
      </c>
    </row>
    <row r="19" spans="1:12" x14ac:dyDescent="0.25">
      <c r="A19" s="22" t="str">
        <f>'SC_Loop 1'!A19</f>
        <v>DTD-210A</v>
      </c>
      <c r="B19" s="23"/>
      <c r="C19" s="24">
        <f>'SC_Loop 1'!C19</f>
        <v>2.9999999999999997E-4</v>
      </c>
      <c r="D19" s="68">
        <f t="shared" si="3"/>
        <v>0</v>
      </c>
      <c r="E19" s="234">
        <f t="shared" si="1"/>
        <v>0</v>
      </c>
      <c r="F19" s="24">
        <f>'SC_Loop 1'!F19</f>
        <v>3.0000000000000001E-3</v>
      </c>
      <c r="G19" s="68">
        <f t="shared" si="4"/>
        <v>0</v>
      </c>
      <c r="H19" s="60"/>
      <c r="I19" s="60" t="str">
        <f t="shared" si="0"/>
        <v xml:space="preserve"> </v>
      </c>
      <c r="J19" s="60"/>
      <c r="K19" s="60"/>
      <c r="L19" s="123" t="str">
        <f t="shared" si="2"/>
        <v xml:space="preserve"> </v>
      </c>
    </row>
    <row r="20" spans="1:12" x14ac:dyDescent="0.25">
      <c r="A20" s="22" t="str">
        <f>'SC_Loop 1'!A20</f>
        <v>DTD-210A-I</v>
      </c>
      <c r="B20" s="23"/>
      <c r="C20" s="24">
        <f>'SC_Loop 1'!C20</f>
        <v>2.9999999999999997E-4</v>
      </c>
      <c r="D20" s="68">
        <f t="shared" si="3"/>
        <v>0</v>
      </c>
      <c r="E20" s="234">
        <f t="shared" si="1"/>
        <v>0</v>
      </c>
      <c r="F20" s="24">
        <f>'SC_Loop 1'!F20</f>
        <v>3.0000000000000001E-3</v>
      </c>
      <c r="G20" s="68">
        <f t="shared" si="4"/>
        <v>0</v>
      </c>
      <c r="H20" s="60"/>
      <c r="I20" s="60" t="str">
        <f t="shared" si="0"/>
        <v xml:space="preserve"> </v>
      </c>
      <c r="J20" s="60"/>
      <c r="K20" s="60"/>
      <c r="L20" s="123" t="str">
        <f t="shared" si="2"/>
        <v xml:space="preserve"> </v>
      </c>
    </row>
    <row r="21" spans="1:12" x14ac:dyDescent="0.25">
      <c r="A21" s="22" t="str">
        <f>'SC_Loop 1'!A21</f>
        <v>DTD-215A</v>
      </c>
      <c r="B21" s="23"/>
      <c r="C21" s="24">
        <f>'SC_Loop 1'!C21</f>
        <v>2.9999999999999997E-4</v>
      </c>
      <c r="D21" s="68">
        <f t="shared" si="3"/>
        <v>0</v>
      </c>
      <c r="E21" s="234">
        <f t="shared" si="1"/>
        <v>0</v>
      </c>
      <c r="F21" s="24">
        <f>'SC_Loop 1'!F21</f>
        <v>3.0000000000000001E-3</v>
      </c>
      <c r="G21" s="68">
        <f t="shared" si="4"/>
        <v>0</v>
      </c>
      <c r="H21" s="60"/>
      <c r="I21" s="60" t="str">
        <f t="shared" si="0"/>
        <v xml:space="preserve"> </v>
      </c>
      <c r="J21" s="60"/>
      <c r="K21" s="60"/>
      <c r="L21" s="123" t="str">
        <f t="shared" si="2"/>
        <v xml:space="preserve"> </v>
      </c>
    </row>
    <row r="22" spans="1:12" x14ac:dyDescent="0.25">
      <c r="A22" s="22" t="str">
        <f>'SC_Loop 1'!A22</f>
        <v>DTD-215A-I</v>
      </c>
      <c r="B22" s="23"/>
      <c r="C22" s="24">
        <f>'SC_Loop 1'!C22</f>
        <v>2.9999999999999997E-4</v>
      </c>
      <c r="D22" s="68">
        <f t="shared" si="3"/>
        <v>0</v>
      </c>
      <c r="E22" s="234">
        <f t="shared" si="1"/>
        <v>0</v>
      </c>
      <c r="F22" s="24">
        <f>'SC_Loop 1'!F22</f>
        <v>3.0000000000000001E-3</v>
      </c>
      <c r="G22" s="68">
        <f t="shared" si="4"/>
        <v>0</v>
      </c>
      <c r="H22" s="60"/>
      <c r="I22" s="60" t="str">
        <f t="shared" si="0"/>
        <v xml:space="preserve"> </v>
      </c>
      <c r="J22" s="60"/>
      <c r="K22" s="60"/>
      <c r="L22" s="123" t="str">
        <f t="shared" si="2"/>
        <v xml:space="preserve"> </v>
      </c>
    </row>
    <row r="23" spans="1:12" x14ac:dyDescent="0.25">
      <c r="A23" s="22" t="str">
        <f>'SC_Loop 1'!A23</f>
        <v>DGD-600</v>
      </c>
      <c r="B23" s="23"/>
      <c r="C23" s="24">
        <f>'SC_Loop 1'!C23</f>
        <v>9.1E-4</v>
      </c>
      <c r="D23" s="68">
        <f t="shared" si="3"/>
        <v>0</v>
      </c>
      <c r="E23" s="234">
        <f>IF(B23&gt;10,10,B23)</f>
        <v>0</v>
      </c>
      <c r="F23" s="24">
        <f>'SC_Loop 1'!F23</f>
        <v>1.1000000000000001E-3</v>
      </c>
      <c r="G23" s="68">
        <f t="shared" si="4"/>
        <v>0</v>
      </c>
      <c r="H23" s="60"/>
      <c r="I23" s="60" t="str">
        <f t="shared" si="0"/>
        <v xml:space="preserve"> </v>
      </c>
      <c r="J23" s="60"/>
      <c r="K23" s="60"/>
      <c r="L23" s="123" t="str">
        <f t="shared" si="2"/>
        <v xml:space="preserve"> </v>
      </c>
    </row>
    <row r="24" spans="1:12" x14ac:dyDescent="0.25">
      <c r="A24" s="22" t="str">
        <f>'SC_Loop 1'!A24</f>
        <v>DGD-600-AC</v>
      </c>
      <c r="B24" s="23"/>
      <c r="C24" s="24">
        <f>'SC_Loop 1'!C24</f>
        <v>9.1E-4</v>
      </c>
      <c r="D24" s="68">
        <f t="shared" si="3"/>
        <v>0</v>
      </c>
      <c r="E24" s="234">
        <f t="shared" ref="E24:E26" si="5">IF(B24&gt;10,10,B24)</f>
        <v>0</v>
      </c>
      <c r="F24" s="24">
        <f>'SC_Loop 1'!F24</f>
        <v>1.1000000000000001E-3</v>
      </c>
      <c r="G24" s="68">
        <f t="shared" si="4"/>
        <v>0</v>
      </c>
      <c r="H24" s="60"/>
      <c r="I24" s="60" t="str">
        <f t="shared" si="0"/>
        <v xml:space="preserve"> </v>
      </c>
      <c r="J24" s="60"/>
      <c r="K24" s="60"/>
      <c r="L24" s="123" t="str">
        <f t="shared" si="2"/>
        <v xml:space="preserve"> </v>
      </c>
    </row>
    <row r="25" spans="1:12" x14ac:dyDescent="0.25">
      <c r="A25" s="22" t="str">
        <f>'SC_Loop 1'!A25</f>
        <v>DGD-620</v>
      </c>
      <c r="B25" s="23"/>
      <c r="C25" s="24">
        <f>'SC_Loop 1'!C25</f>
        <v>9.1E-4</v>
      </c>
      <c r="D25" s="68">
        <f t="shared" si="3"/>
        <v>0</v>
      </c>
      <c r="E25" s="234">
        <f t="shared" si="5"/>
        <v>0</v>
      </c>
      <c r="F25" s="24">
        <f>'SC_Loop 1'!F25</f>
        <v>1.1000000000000001E-3</v>
      </c>
      <c r="G25" s="68">
        <f t="shared" si="4"/>
        <v>0</v>
      </c>
      <c r="H25" s="60"/>
      <c r="I25" s="60" t="str">
        <f t="shared" si="0"/>
        <v xml:space="preserve"> </v>
      </c>
      <c r="J25" s="60"/>
      <c r="K25" s="60"/>
      <c r="L25" s="123" t="str">
        <f t="shared" si="2"/>
        <v xml:space="preserve"> </v>
      </c>
    </row>
    <row r="26" spans="1:12" x14ac:dyDescent="0.25">
      <c r="A26" s="22" t="str">
        <f>'SC_Loop 1'!A26</f>
        <v>DGD-620-AC</v>
      </c>
      <c r="B26" s="23"/>
      <c r="C26" s="24">
        <f>'SC_Loop 1'!C26</f>
        <v>9.1E-4</v>
      </c>
      <c r="D26" s="68">
        <f t="shared" si="3"/>
        <v>0</v>
      </c>
      <c r="E26" s="234">
        <f t="shared" si="5"/>
        <v>0</v>
      </c>
      <c r="F26" s="24">
        <f>'SC_Loop 1'!F26</f>
        <v>1.1000000000000001E-3</v>
      </c>
      <c r="G26" s="68">
        <f t="shared" si="4"/>
        <v>0</v>
      </c>
      <c r="H26" s="60"/>
      <c r="I26" s="60" t="str">
        <f t="shared" si="0"/>
        <v xml:space="preserve"> </v>
      </c>
      <c r="J26" s="60"/>
      <c r="K26" s="60"/>
      <c r="L26" s="123" t="str">
        <f t="shared" si="2"/>
        <v xml:space="preserve"> </v>
      </c>
    </row>
    <row r="27" spans="1:12" x14ac:dyDescent="0.25">
      <c r="A27" s="22" t="str">
        <f>'SC_Loop 1'!A27</f>
        <v>MAD-401 &amp; MAD-401-I</v>
      </c>
      <c r="B27" s="23"/>
      <c r="C27" s="24">
        <f>'SC_Loop 1'!C27</f>
        <v>2.9999999999999997E-4</v>
      </c>
      <c r="D27" s="68">
        <f t="shared" si="3"/>
        <v>0</v>
      </c>
      <c r="E27" s="233">
        <f>B27*'System Calculation'!$I$14</f>
        <v>0</v>
      </c>
      <c r="F27" s="24">
        <f>'SC_Loop 1'!F27</f>
        <v>3.0000000000000001E-3</v>
      </c>
      <c r="G27" s="68">
        <f t="shared" si="4"/>
        <v>0</v>
      </c>
      <c r="H27" s="60"/>
      <c r="I27" s="60"/>
      <c r="J27" s="60" t="str">
        <f>IF(B27&lt;&gt;0,B27," ")</f>
        <v xml:space="preserve"> </v>
      </c>
      <c r="K27" s="60"/>
      <c r="L27" s="123" t="str">
        <f>IF(J27&lt;&gt;0,J27," ")</f>
        <v xml:space="preserve"> </v>
      </c>
    </row>
    <row r="28" spans="1:12" x14ac:dyDescent="0.25">
      <c r="A28" s="22" t="str">
        <f>'SC_Loop 1'!A28</f>
        <v>MAD-402 &amp; MAD-402-I</v>
      </c>
      <c r="B28" s="23"/>
      <c r="C28" s="24">
        <f>'SC_Loop 1'!C28</f>
        <v>2.9999999999999997E-4</v>
      </c>
      <c r="D28" s="68">
        <f t="shared" si="3"/>
        <v>0</v>
      </c>
      <c r="E28" s="233">
        <f>B28*'System Calculation'!$I$14</f>
        <v>0</v>
      </c>
      <c r="F28" s="24">
        <f>'SC_Loop 1'!F28</f>
        <v>3.0000000000000001E-3</v>
      </c>
      <c r="G28" s="68">
        <f t="shared" si="4"/>
        <v>0</v>
      </c>
      <c r="H28" s="60"/>
      <c r="I28" s="60"/>
      <c r="J28" s="60">
        <f>IF(B28&lt;&gt;0,B28,0)</f>
        <v>0</v>
      </c>
      <c r="K28" s="60"/>
      <c r="L28" s="123" t="str">
        <f>IF(J28&lt;&gt;0,2*J28," ")</f>
        <v xml:space="preserve"> </v>
      </c>
    </row>
    <row r="29" spans="1:12" x14ac:dyDescent="0.25">
      <c r="A29" s="22" t="str">
        <f>'SC_Loop 1'!A29</f>
        <v>MAD-405-I</v>
      </c>
      <c r="B29" s="23"/>
      <c r="C29" s="24">
        <f>'SC_Loop 1'!C29</f>
        <v>2.9999999999999997E-4</v>
      </c>
      <c r="D29" s="68">
        <f t="shared" si="3"/>
        <v>0</v>
      </c>
      <c r="E29" s="233">
        <f>B29*'System Calculation'!$I$14</f>
        <v>0</v>
      </c>
      <c r="F29" s="24">
        <f>'SC_Loop 1'!F29</f>
        <v>3.0000000000000001E-3</v>
      </c>
      <c r="G29" s="68">
        <f t="shared" si="4"/>
        <v>0</v>
      </c>
      <c r="H29" s="60"/>
      <c r="I29" s="60"/>
      <c r="J29" s="60">
        <f>IF(B29&lt;&gt;0,B29,0)</f>
        <v>0</v>
      </c>
      <c r="K29" s="60"/>
      <c r="L29" s="123" t="str">
        <f>IF(J29&lt;&gt;0,5*J29," ")</f>
        <v xml:space="preserve"> </v>
      </c>
    </row>
    <row r="30" spans="1:12" x14ac:dyDescent="0.25">
      <c r="A30" s="22" t="str">
        <f>'SC_Loop 1'!A30</f>
        <v>MAD-409-I</v>
      </c>
      <c r="B30" s="23"/>
      <c r="C30" s="24">
        <f>'SC_Loop 1'!C30</f>
        <v>2.9999999999999997E-4</v>
      </c>
      <c r="D30" s="68">
        <f t="shared" si="3"/>
        <v>0</v>
      </c>
      <c r="E30" s="233">
        <f>B30*'System Calculation'!$I$14</f>
        <v>0</v>
      </c>
      <c r="F30" s="24">
        <f>'SC_Loop 1'!F30</f>
        <v>3.0000000000000001E-3</v>
      </c>
      <c r="G30" s="68">
        <f t="shared" si="4"/>
        <v>0</v>
      </c>
      <c r="H30" s="60"/>
      <c r="I30" s="60"/>
      <c r="J30" s="60">
        <f>IF(B30&lt;&gt;0,B30,0)</f>
        <v>0</v>
      </c>
      <c r="K30" s="60"/>
      <c r="L30" s="123" t="str">
        <f>IF(J30&lt;&gt;0,10*J30," ")</f>
        <v xml:space="preserve"> </v>
      </c>
    </row>
    <row r="31" spans="1:12" x14ac:dyDescent="0.25">
      <c r="A31" s="22" t="str">
        <f>'SC_Loop 1'!A31</f>
        <v>MAD-411 &amp; MAD-411-I</v>
      </c>
      <c r="B31" s="23"/>
      <c r="C31" s="24">
        <f>'SC_Loop 1'!C31</f>
        <v>2.9999999999999997E-4</v>
      </c>
      <c r="D31" s="68">
        <f t="shared" si="3"/>
        <v>0</v>
      </c>
      <c r="E31" s="233">
        <f>B31*'System Calculation'!$I$14</f>
        <v>0</v>
      </c>
      <c r="F31" s="24">
        <f>'SC_Loop 1'!F31</f>
        <v>3.0000000000000001E-3</v>
      </c>
      <c r="G31" s="68">
        <f t="shared" si="4"/>
        <v>0</v>
      </c>
      <c r="H31" s="60"/>
      <c r="I31" s="60"/>
      <c r="J31" s="60" t="str">
        <f>IF(B31&lt;&gt;0,B31," ")</f>
        <v xml:space="preserve"> </v>
      </c>
      <c r="K31" s="60"/>
      <c r="L31" s="123" t="str">
        <f>IF(J31&lt;&gt;0,J31," ")</f>
        <v xml:space="preserve"> </v>
      </c>
    </row>
    <row r="32" spans="1:12" x14ac:dyDescent="0.25">
      <c r="A32" s="22" t="str">
        <f>'SC_Loop 1'!A32</f>
        <v>MAD-412 &amp; MAD-412-I</v>
      </c>
      <c r="B32" s="23"/>
      <c r="C32" s="24">
        <f>'SC_Loop 1'!C32</f>
        <v>2.9999999999999997E-4</v>
      </c>
      <c r="D32" s="68">
        <f t="shared" si="3"/>
        <v>0</v>
      </c>
      <c r="E32" s="233">
        <f>B32*'System Calculation'!$I$14</f>
        <v>0</v>
      </c>
      <c r="F32" s="24">
        <f>'SC_Loop 1'!F32</f>
        <v>3.0000000000000001E-3</v>
      </c>
      <c r="G32" s="68">
        <f t="shared" si="4"/>
        <v>0</v>
      </c>
      <c r="H32" s="60"/>
      <c r="I32" s="60"/>
      <c r="J32" s="60">
        <f t="shared" ref="J32:J38" si="6">IF(B32&lt;&gt;0,B32,0)</f>
        <v>0</v>
      </c>
      <c r="K32" s="60"/>
      <c r="L32" s="123" t="str">
        <f>IF(J32&lt;&gt;0,2*J32," ")</f>
        <v xml:space="preserve"> </v>
      </c>
    </row>
    <row r="33" spans="1:14" x14ac:dyDescent="0.25">
      <c r="A33" s="22" t="str">
        <f>'SC_Loop 1'!A33</f>
        <v>MAD-415-I</v>
      </c>
      <c r="B33" s="23"/>
      <c r="C33" s="24">
        <f>'SC_Loop 1'!C33</f>
        <v>2.9999999999999997E-4</v>
      </c>
      <c r="D33" s="68">
        <f t="shared" si="3"/>
        <v>0</v>
      </c>
      <c r="E33" s="233">
        <f>B33*'System Calculation'!$I$14</f>
        <v>0</v>
      </c>
      <c r="F33" s="24">
        <f>'SC_Loop 1'!F33</f>
        <v>3.0000000000000001E-3</v>
      </c>
      <c r="G33" s="68">
        <f t="shared" si="4"/>
        <v>0</v>
      </c>
      <c r="H33" s="60"/>
      <c r="I33" s="60"/>
      <c r="J33" s="60">
        <f t="shared" si="6"/>
        <v>0</v>
      </c>
      <c r="K33" s="60"/>
      <c r="L33" s="123" t="str">
        <f>IF(J33&lt;&gt;0,5*J33," ")</f>
        <v xml:space="preserve"> </v>
      </c>
      <c r="N33" s="195" t="str">
        <f>IF(AND(B33&gt;0),"Info: External 24V needed. Control Panel could provide from 24Vaux, if 500mA maximum current isn't exceeded."," ")</f>
        <v xml:space="preserve"> </v>
      </c>
    </row>
    <row r="34" spans="1:14" x14ac:dyDescent="0.25">
      <c r="A34" s="22" t="str">
        <f>'SC_Loop 1'!A34</f>
        <v>MAD-419-I</v>
      </c>
      <c r="B34" s="23"/>
      <c r="C34" s="24">
        <f>'SC_Loop 1'!C34</f>
        <v>2.9999999999999997E-4</v>
      </c>
      <c r="D34" s="68">
        <f t="shared" si="3"/>
        <v>0</v>
      </c>
      <c r="E34" s="233">
        <f>B34*'System Calculation'!$I$14</f>
        <v>0</v>
      </c>
      <c r="F34" s="24">
        <f>'SC_Loop 1'!F34</f>
        <v>3.0000000000000001E-3</v>
      </c>
      <c r="G34" s="68">
        <f t="shared" si="4"/>
        <v>0</v>
      </c>
      <c r="H34" s="60"/>
      <c r="I34" s="60"/>
      <c r="J34" s="60">
        <f t="shared" si="6"/>
        <v>0</v>
      </c>
      <c r="K34" s="60"/>
      <c r="L34" s="123" t="str">
        <f>IF(J34&lt;&gt;0,10*J34," ")</f>
        <v xml:space="preserve"> </v>
      </c>
      <c r="N34" s="41" t="str">
        <f>IF(AND(B34&gt;0),"Info: External 24V needed. Control Panel could provide from 24Vaux, if 500mA maximum current isn't exceeded."," ")</f>
        <v xml:space="preserve"> </v>
      </c>
    </row>
    <row r="35" spans="1:14" x14ac:dyDescent="0.25">
      <c r="A35" s="22" t="str">
        <f>'SC_Loop 1'!A35</f>
        <v>MAD-421 &amp; MAD-421-I</v>
      </c>
      <c r="B35" s="23"/>
      <c r="C35" s="24">
        <f>'SC_Loop 1'!C35</f>
        <v>2.9999999999999997E-4</v>
      </c>
      <c r="D35" s="68">
        <f t="shared" si="3"/>
        <v>0</v>
      </c>
      <c r="E35" s="233">
        <f>B35*'System Calculation'!$I$14</f>
        <v>0</v>
      </c>
      <c r="F35" s="24">
        <f>'SC_Loop 1'!F35</f>
        <v>3.0000000000000001E-3</v>
      </c>
      <c r="G35" s="68">
        <f t="shared" si="4"/>
        <v>0</v>
      </c>
      <c r="H35" s="60"/>
      <c r="I35" s="60"/>
      <c r="J35" s="60">
        <f t="shared" si="6"/>
        <v>0</v>
      </c>
      <c r="K35" s="60"/>
      <c r="L35" s="123" t="str">
        <f>IF(J35&lt;&gt;0,2*J35," ")</f>
        <v xml:space="preserve"> </v>
      </c>
      <c r="N35" s="41"/>
    </row>
    <row r="36" spans="1:14" x14ac:dyDescent="0.25">
      <c r="A36" s="22" t="str">
        <f>'SC_Loop 1'!A36</f>
        <v>MAD-422 &amp; MAD-422-I</v>
      </c>
      <c r="B36" s="23"/>
      <c r="C36" s="24">
        <f>'SC_Loop 1'!C36</f>
        <v>2.9999999999999997E-4</v>
      </c>
      <c r="D36" s="68">
        <f t="shared" si="3"/>
        <v>0</v>
      </c>
      <c r="E36" s="233">
        <f>B36*'System Calculation'!$I$14</f>
        <v>0</v>
      </c>
      <c r="F36" s="24">
        <f>'SC_Loop 1'!F36</f>
        <v>3.0000000000000001E-3</v>
      </c>
      <c r="G36" s="68">
        <f t="shared" si="4"/>
        <v>0</v>
      </c>
      <c r="H36" s="60"/>
      <c r="I36" s="60"/>
      <c r="J36" s="60">
        <f t="shared" si="6"/>
        <v>0</v>
      </c>
      <c r="K36" s="60"/>
      <c r="L36" s="123" t="str">
        <f>IF(J36&lt;&gt;0,4*J36," ")</f>
        <v xml:space="preserve"> </v>
      </c>
      <c r="N36" s="41" t="str">
        <f>IF(AND(B36&gt;0,B36&lt;5),CONCATENATE("Info: External 24V needed. Control Panel could provide from 24Vaux, if 500mA maximum current isn't exceeded. Current requested from device(s) = ",D36,"mA."),IF(B36=0," ",IF(OR(B36=5,B36&gt;5),CONCATENATE("Warning: External 24V PSU is mandatory. Current requested from devices = ",D36,"mA.")," ")))</f>
        <v xml:space="preserve"> </v>
      </c>
    </row>
    <row r="37" spans="1:14" x14ac:dyDescent="0.25">
      <c r="A37" s="22" t="str">
        <f>'SC_Loop 1'!A37</f>
        <v>MAD-425-I</v>
      </c>
      <c r="B37" s="23"/>
      <c r="C37" s="24">
        <f>'SC_Loop 1'!C37</f>
        <v>2.9999999999999997E-4</v>
      </c>
      <c r="D37" s="68">
        <f t="shared" si="3"/>
        <v>0</v>
      </c>
      <c r="E37" s="233">
        <f>B37*'System Calculation'!$I$14</f>
        <v>0</v>
      </c>
      <c r="F37" s="24">
        <f>'SC_Loop 1'!F37</f>
        <v>3.0000000000000001E-3</v>
      </c>
      <c r="G37" s="68">
        <f t="shared" si="4"/>
        <v>0</v>
      </c>
      <c r="H37" s="60"/>
      <c r="I37" s="60"/>
      <c r="J37" s="60">
        <f t="shared" si="6"/>
        <v>0</v>
      </c>
      <c r="K37" s="60"/>
      <c r="L37" s="123" t="str">
        <f>IF(J37&lt;&gt;0,10*J37," ")</f>
        <v xml:space="preserve"> </v>
      </c>
      <c r="N37" s="41" t="str">
        <f t="shared" ref="N37:N42" si="7">IF(AND(B37&gt;0),"Info: External 24V needed. Control Panel could provide from 24Vaux, if 500mA maximum current isn't exceeded."," ")</f>
        <v xml:space="preserve"> </v>
      </c>
    </row>
    <row r="38" spans="1:14" x14ac:dyDescent="0.25">
      <c r="A38" s="22" t="str">
        <f>'SC_Loop 1'!A38</f>
        <v>MAD-429-I</v>
      </c>
      <c r="B38" s="23"/>
      <c r="C38" s="24">
        <f>'SC_Loop 1'!C38</f>
        <v>2.9999999999999997E-4</v>
      </c>
      <c r="D38" s="68">
        <f t="shared" si="3"/>
        <v>0</v>
      </c>
      <c r="E38" s="233">
        <f>B38*'System Calculation'!$I$14</f>
        <v>0</v>
      </c>
      <c r="F38" s="24">
        <f>'SC_Loop 1'!F38</f>
        <v>3.0000000000000001E-3</v>
      </c>
      <c r="G38" s="68">
        <f t="shared" si="4"/>
        <v>0</v>
      </c>
      <c r="H38" s="60"/>
      <c r="I38" s="60"/>
      <c r="J38" s="60">
        <f t="shared" si="6"/>
        <v>0</v>
      </c>
      <c r="K38" s="60"/>
      <c r="L38" s="123" t="str">
        <f>IF(J38&lt;&gt;0,20*J38," ")</f>
        <v xml:space="preserve"> </v>
      </c>
      <c r="N38" s="41" t="str">
        <f t="shared" si="7"/>
        <v xml:space="preserve"> </v>
      </c>
    </row>
    <row r="39" spans="1:14" x14ac:dyDescent="0.25">
      <c r="A39" s="22" t="str">
        <f>'SC_Loop 1'!A39</f>
        <v>MAD-431 &amp; MAD-431-I</v>
      </c>
      <c r="B39" s="23"/>
      <c r="C39" s="24">
        <f>'SC_Loop 1'!C39</f>
        <v>2.9999999999999997E-4</v>
      </c>
      <c r="D39" s="68">
        <f t="shared" si="3"/>
        <v>0</v>
      </c>
      <c r="E39" s="233">
        <f>B39*'System Calculation'!$I$14</f>
        <v>0</v>
      </c>
      <c r="F39" s="24">
        <f>'SC_Loop 1'!F39</f>
        <v>3.0000000000000001E-3</v>
      </c>
      <c r="G39" s="68">
        <f t="shared" si="4"/>
        <v>0</v>
      </c>
      <c r="H39" s="60"/>
      <c r="I39" s="60"/>
      <c r="J39" s="60" t="str">
        <f>IF(B39&lt;&gt;0,B39," ")</f>
        <v xml:space="preserve"> </v>
      </c>
      <c r="K39" s="60"/>
      <c r="L39" s="123" t="str">
        <f>IF(J39&lt;&gt;0,J39," ")</f>
        <v xml:space="preserve"> </v>
      </c>
      <c r="N39" s="41" t="str">
        <f t="shared" si="7"/>
        <v xml:space="preserve"> </v>
      </c>
    </row>
    <row r="40" spans="1:14" x14ac:dyDescent="0.25">
      <c r="A40" s="22" t="str">
        <f>'SC_Loop 1'!A40</f>
        <v>MAD-432 &amp; MAD-432-I</v>
      </c>
      <c r="B40" s="23"/>
      <c r="C40" s="24">
        <f>'SC_Loop 1'!C40</f>
        <v>2.9999999999999997E-4</v>
      </c>
      <c r="D40" s="68">
        <f t="shared" si="3"/>
        <v>0</v>
      </c>
      <c r="E40" s="233">
        <f>B40*'System Calculation'!$I$14</f>
        <v>0</v>
      </c>
      <c r="F40" s="24">
        <f>'SC_Loop 1'!F40</f>
        <v>3.0000000000000001E-3</v>
      </c>
      <c r="G40" s="68">
        <f t="shared" si="4"/>
        <v>0</v>
      </c>
      <c r="H40" s="60"/>
      <c r="I40" s="60"/>
      <c r="J40" s="60">
        <f>IF(B40&lt;&gt;0,B40,0)</f>
        <v>0</v>
      </c>
      <c r="K40" s="60"/>
      <c r="L40" s="123" t="str">
        <f>IF(J40&lt;&gt;0,2*J40," ")</f>
        <v xml:space="preserve"> </v>
      </c>
      <c r="N40" s="41" t="str">
        <f t="shared" si="7"/>
        <v xml:space="preserve"> </v>
      </c>
    </row>
    <row r="41" spans="1:14" x14ac:dyDescent="0.25">
      <c r="A41" s="22" t="str">
        <f>'SC_Loop 1'!A41</f>
        <v>MAD-441 &amp; MAD-441-I</v>
      </c>
      <c r="B41" s="23"/>
      <c r="C41" s="24">
        <f>'SC_Loop 1'!C41</f>
        <v>2.9999999999999997E-4</v>
      </c>
      <c r="D41" s="68">
        <f t="shared" si="3"/>
        <v>0</v>
      </c>
      <c r="E41" s="233">
        <f>B41*'System Calculation'!$I$14</f>
        <v>0</v>
      </c>
      <c r="F41" s="24">
        <f>'SC_Loop 1'!F41</f>
        <v>3.0000000000000001E-3</v>
      </c>
      <c r="G41" s="68">
        <f t="shared" si="4"/>
        <v>0</v>
      </c>
      <c r="H41" s="60"/>
      <c r="I41" s="60"/>
      <c r="J41" s="60" t="str">
        <f>IF(B41&lt;&gt;0,B41," ")</f>
        <v xml:space="preserve"> </v>
      </c>
      <c r="K41" s="60"/>
      <c r="L41" s="123" t="str">
        <f>IF(J41&lt;&gt;0,J41," ")</f>
        <v xml:space="preserve"> </v>
      </c>
      <c r="N41" s="41" t="str">
        <f t="shared" si="7"/>
        <v xml:space="preserve"> </v>
      </c>
    </row>
    <row r="42" spans="1:14" x14ac:dyDescent="0.25">
      <c r="A42" s="22" t="str">
        <f>'SC_Loop 1'!A42</f>
        <v>MAD-442 &amp; MAD-442-I</v>
      </c>
      <c r="B42" s="23"/>
      <c r="C42" s="24">
        <f>'SC_Loop 1'!C42</f>
        <v>2.9999999999999997E-4</v>
      </c>
      <c r="D42" s="68">
        <f t="shared" si="3"/>
        <v>0</v>
      </c>
      <c r="E42" s="233">
        <f>B42*'System Calculation'!$I$14</f>
        <v>0</v>
      </c>
      <c r="F42" s="24">
        <f>'SC_Loop 1'!F42</f>
        <v>3.0000000000000001E-3</v>
      </c>
      <c r="G42" s="68">
        <f t="shared" si="4"/>
        <v>0</v>
      </c>
      <c r="H42" s="60"/>
      <c r="I42" s="60"/>
      <c r="J42" s="60">
        <f>IF(B42&lt;&gt;0,B42,0)</f>
        <v>0</v>
      </c>
      <c r="K42" s="60"/>
      <c r="L42" s="123" t="str">
        <f>IF(J42&lt;&gt;0,2*J42," ")</f>
        <v xml:space="preserve"> </v>
      </c>
      <c r="N42" s="41" t="str">
        <f t="shared" si="7"/>
        <v xml:space="preserve"> </v>
      </c>
    </row>
    <row r="43" spans="1:14" x14ac:dyDescent="0.25">
      <c r="A43" s="22" t="str">
        <f>'SC_Loop 1'!A43</f>
        <v>MAD-450 &amp; MAD-450-I</v>
      </c>
      <c r="B43" s="23"/>
      <c r="C43" s="24">
        <f>'SC_Loop 1'!C43</f>
        <v>2.9999999999999997E-4</v>
      </c>
      <c r="D43" s="68">
        <f t="shared" si="3"/>
        <v>0</v>
      </c>
      <c r="E43" s="233">
        <f>B43*'System Calculation'!$I$12</f>
        <v>0</v>
      </c>
      <c r="F43" s="24">
        <f>'SC_Loop 1'!F43</f>
        <v>3.0000000000000001E-3</v>
      </c>
      <c r="G43" s="68">
        <f t="shared" si="4"/>
        <v>0</v>
      </c>
      <c r="H43" s="60"/>
      <c r="I43" s="59"/>
      <c r="J43" s="60"/>
      <c r="K43" s="60"/>
      <c r="L43" s="123" t="str">
        <f>IF(B43&lt;&gt;0,B43," ")</f>
        <v xml:space="preserve"> </v>
      </c>
      <c r="N43" s="11"/>
    </row>
    <row r="44" spans="1:14" x14ac:dyDescent="0.25">
      <c r="A44" s="22" t="str">
        <f>'SC_Loop 1'!A44</f>
        <v>MAD-451-I</v>
      </c>
      <c r="B44" s="23"/>
      <c r="C44" s="24">
        <f>'SC_Loop 1'!C44</f>
        <v>2.9999999999999997E-4</v>
      </c>
      <c r="D44" s="68">
        <f t="shared" si="3"/>
        <v>0</v>
      </c>
      <c r="E44" s="233">
        <f>B44*'System Calculation'!$I$12</f>
        <v>0</v>
      </c>
      <c r="F44" s="24">
        <f>'SC_Loop 1'!F44</f>
        <v>3.0000000000000001E-3</v>
      </c>
      <c r="G44" s="68">
        <f t="shared" si="4"/>
        <v>0</v>
      </c>
      <c r="H44" s="60"/>
      <c r="I44" s="60"/>
      <c r="J44" s="60"/>
      <c r="K44" s="60"/>
      <c r="L44" s="123" t="str">
        <f>IF(B44&lt;&gt;0,B44," ")</f>
        <v xml:space="preserve"> </v>
      </c>
    </row>
    <row r="45" spans="1:14" x14ac:dyDescent="0.25">
      <c r="A45" s="22" t="str">
        <f>'SC_Loop 1'!A45</f>
        <v>MAD-461-I</v>
      </c>
      <c r="B45" s="23"/>
      <c r="C45" s="24">
        <f>'SC_Loop 1'!C45</f>
        <v>2.9999999999999997E-4</v>
      </c>
      <c r="D45" s="68">
        <f t="shared" si="3"/>
        <v>0</v>
      </c>
      <c r="E45" s="233">
        <f>B45*'System Calculation'!$I$13</f>
        <v>0</v>
      </c>
      <c r="F45" s="24">
        <f>'SC_Loop 1'!F45</f>
        <v>8.9999999999999993E-3</v>
      </c>
      <c r="G45" s="68">
        <f>E45*F45</f>
        <v>0</v>
      </c>
      <c r="H45" s="60" t="str">
        <f>IF(B45*G45=0," ",G45)</f>
        <v xml:space="preserve"> </v>
      </c>
      <c r="I45" s="60"/>
      <c r="J45" s="60"/>
      <c r="K45" s="60" t="str">
        <f t="shared" ref="K45:K53" si="8">IF(B45&lt;&gt;0,B45," ")</f>
        <v xml:space="preserve"> </v>
      </c>
      <c r="L45" s="123" t="str">
        <f>IF(K45&lt;&gt;0,K45," ")</f>
        <v xml:space="preserve"> </v>
      </c>
    </row>
    <row r="46" spans="1:14" x14ac:dyDescent="0.25">
      <c r="A46" s="22" t="str">
        <f>'SC_Loop 1'!A46</f>
        <v>MAD-464-I Low vol. (78 dB)</v>
      </c>
      <c r="B46" s="23"/>
      <c r="C46" s="24">
        <f>'SC_Loop 1'!C46</f>
        <v>2.9999999999999997E-4</v>
      </c>
      <c r="D46" s="68">
        <f t="shared" si="3"/>
        <v>0</v>
      </c>
      <c r="E46" s="233">
        <f>B46*'System Calculation'!$I$13</f>
        <v>0</v>
      </c>
      <c r="F46" s="24">
        <f>'SC_Loop 1'!F46</f>
        <v>6.4999999999999997E-3</v>
      </c>
      <c r="G46" s="68">
        <f t="shared" ref="G46:G51" si="9">E46*F46</f>
        <v>0</v>
      </c>
      <c r="H46" s="60" t="str">
        <f t="shared" ref="H46:H53" si="10">IF(B46*G46=0," ",G46)</f>
        <v xml:space="preserve"> </v>
      </c>
      <c r="I46" s="60"/>
      <c r="J46" s="60"/>
      <c r="K46" s="60" t="str">
        <f t="shared" si="8"/>
        <v xml:space="preserve"> </v>
      </c>
      <c r="L46" s="123" t="str">
        <f t="shared" ref="L46:L53" si="11">IF(K46&lt;&gt;0,K46," ")</f>
        <v xml:space="preserve"> </v>
      </c>
    </row>
    <row r="47" spans="1:14" x14ac:dyDescent="0.25">
      <c r="A47" s="22" t="str">
        <f>'SC_Loop 1'!A47</f>
        <v>MAD-464-I Medium vol. (93 dB)</v>
      </c>
      <c r="B47" s="23"/>
      <c r="C47" s="24">
        <f>'SC_Loop 1'!C47</f>
        <v>2.9999999999999997E-4</v>
      </c>
      <c r="D47" s="68">
        <f t="shared" si="3"/>
        <v>0</v>
      </c>
      <c r="E47" s="233">
        <f>B47*'System Calculation'!$I$13</f>
        <v>0</v>
      </c>
      <c r="F47" s="24">
        <f>'SC_Loop 1'!F47</f>
        <v>9.7000000000000003E-3</v>
      </c>
      <c r="G47" s="68">
        <f t="shared" si="9"/>
        <v>0</v>
      </c>
      <c r="H47" s="60" t="str">
        <f t="shared" si="10"/>
        <v xml:space="preserve"> </v>
      </c>
      <c r="I47" s="60"/>
      <c r="J47" s="60"/>
      <c r="K47" s="60" t="str">
        <f t="shared" si="8"/>
        <v xml:space="preserve"> </v>
      </c>
      <c r="L47" s="123" t="str">
        <f t="shared" si="11"/>
        <v xml:space="preserve"> </v>
      </c>
    </row>
    <row r="48" spans="1:14" x14ac:dyDescent="0.25">
      <c r="A48" s="22" t="str">
        <f>'SC_Loop 1'!A48</f>
        <v>MAD-464-I High vol. (97 dB)</v>
      </c>
      <c r="B48" s="23"/>
      <c r="C48" s="24">
        <f>'SC_Loop 1'!C48</f>
        <v>2.9999999999999997E-4</v>
      </c>
      <c r="D48" s="68">
        <f t="shared" si="3"/>
        <v>0</v>
      </c>
      <c r="E48" s="233">
        <f>B48*'System Calculation'!$I$13</f>
        <v>0</v>
      </c>
      <c r="F48" s="24">
        <f>'SC_Loop 1'!F48</f>
        <v>1.2999999999999999E-2</v>
      </c>
      <c r="G48" s="68">
        <f t="shared" si="9"/>
        <v>0</v>
      </c>
      <c r="H48" s="60" t="str">
        <f t="shared" si="10"/>
        <v xml:space="preserve"> </v>
      </c>
      <c r="I48" s="60"/>
      <c r="J48" s="60"/>
      <c r="K48" s="60" t="str">
        <f t="shared" si="8"/>
        <v xml:space="preserve"> </v>
      </c>
      <c r="L48" s="123" t="str">
        <f t="shared" si="11"/>
        <v xml:space="preserve"> </v>
      </c>
    </row>
    <row r="49" spans="1:14" x14ac:dyDescent="0.25">
      <c r="A49" s="22" t="str">
        <f>'SC_Loop 1'!A49</f>
        <v>MAD-465-I Low vol. (78 dB)</v>
      </c>
      <c r="B49" s="23"/>
      <c r="C49" s="24">
        <f>'SC_Loop 1'!C49</f>
        <v>2.9999999999999997E-4</v>
      </c>
      <c r="D49" s="68">
        <f t="shared" si="3"/>
        <v>0</v>
      </c>
      <c r="E49" s="233">
        <f>B49*'System Calculation'!$I$13</f>
        <v>0</v>
      </c>
      <c r="F49" s="24">
        <f>'SC_Loop 1'!F49</f>
        <v>6.4999999999999997E-3</v>
      </c>
      <c r="G49" s="68">
        <f t="shared" si="9"/>
        <v>0</v>
      </c>
      <c r="H49" s="60" t="str">
        <f t="shared" si="10"/>
        <v xml:space="preserve"> </v>
      </c>
      <c r="I49" s="60"/>
      <c r="J49" s="60"/>
      <c r="K49" s="60" t="str">
        <f t="shared" si="8"/>
        <v xml:space="preserve"> </v>
      </c>
      <c r="L49" s="123" t="str">
        <f t="shared" si="11"/>
        <v xml:space="preserve"> </v>
      </c>
    </row>
    <row r="50" spans="1:14" x14ac:dyDescent="0.25">
      <c r="A50" s="22" t="str">
        <f>'SC_Loop 1'!A50</f>
        <v>MAD-465-I Medium vol. (93 dB)</v>
      </c>
      <c r="B50" s="23"/>
      <c r="C50" s="24">
        <f>'SC_Loop 1'!C50</f>
        <v>2.9999999999999997E-4</v>
      </c>
      <c r="D50" s="68">
        <f t="shared" si="3"/>
        <v>0</v>
      </c>
      <c r="E50" s="233">
        <f>B50*'System Calculation'!$I$13</f>
        <v>0</v>
      </c>
      <c r="F50" s="24">
        <f>'SC_Loop 1'!F50</f>
        <v>9.7000000000000003E-3</v>
      </c>
      <c r="G50" s="68">
        <f t="shared" si="9"/>
        <v>0</v>
      </c>
      <c r="H50" s="60" t="str">
        <f t="shared" si="10"/>
        <v xml:space="preserve"> </v>
      </c>
      <c r="I50" s="60"/>
      <c r="J50" s="60"/>
      <c r="K50" s="60" t="str">
        <f t="shared" si="8"/>
        <v xml:space="preserve"> </v>
      </c>
      <c r="L50" s="123" t="str">
        <f t="shared" si="11"/>
        <v xml:space="preserve"> </v>
      </c>
    </row>
    <row r="51" spans="1:14" x14ac:dyDescent="0.25">
      <c r="A51" s="22" t="str">
        <f>'SC_Loop 1'!A51</f>
        <v>MAD-465-I High vol. (97 dB)</v>
      </c>
      <c r="B51" s="23"/>
      <c r="C51" s="24">
        <f>'SC_Loop 1'!C51</f>
        <v>2.9999999999999997E-4</v>
      </c>
      <c r="D51" s="68">
        <f t="shared" si="3"/>
        <v>0</v>
      </c>
      <c r="E51" s="233">
        <f>B51*'System Calculation'!$I$13</f>
        <v>0</v>
      </c>
      <c r="F51" s="24">
        <f>'SC_Loop 1'!F51</f>
        <v>1.2999999999999999E-2</v>
      </c>
      <c r="G51" s="68">
        <f t="shared" si="9"/>
        <v>0</v>
      </c>
      <c r="H51" s="60" t="str">
        <f t="shared" si="10"/>
        <v xml:space="preserve"> </v>
      </c>
      <c r="I51" s="60"/>
      <c r="J51" s="60"/>
      <c r="K51" s="60" t="str">
        <f t="shared" si="8"/>
        <v xml:space="preserve"> </v>
      </c>
      <c r="L51" s="123" t="str">
        <f t="shared" si="11"/>
        <v xml:space="preserve"> </v>
      </c>
    </row>
    <row r="52" spans="1:14" x14ac:dyDescent="0.25">
      <c r="A52" s="22" t="str">
        <f>'SC_Loop 1'!A52</f>
        <v>MAD-472</v>
      </c>
      <c r="B52" s="23"/>
      <c r="C52" s="24">
        <f>'SC_Loop 1'!C52</f>
        <v>3.5E-4</v>
      </c>
      <c r="D52" s="68">
        <f>B52*C52</f>
        <v>0</v>
      </c>
      <c r="E52" s="233">
        <f>B52*'System Calculation'!$I$13</f>
        <v>0</v>
      </c>
      <c r="F52" s="24">
        <f>'SC_Loop 1'!F52</f>
        <v>1.4E-2</v>
      </c>
      <c r="G52" s="68">
        <f t="shared" si="4"/>
        <v>0</v>
      </c>
      <c r="H52" s="60" t="str">
        <f t="shared" si="10"/>
        <v xml:space="preserve"> </v>
      </c>
      <c r="I52" s="60"/>
      <c r="J52" s="60"/>
      <c r="K52" s="60" t="str">
        <f t="shared" si="8"/>
        <v xml:space="preserve"> </v>
      </c>
      <c r="L52" s="123" t="str">
        <f t="shared" si="11"/>
        <v xml:space="preserve"> </v>
      </c>
    </row>
    <row r="53" spans="1:14" x14ac:dyDescent="0.25">
      <c r="A53" s="22" t="str">
        <f>'SC_Loop 1'!A53</f>
        <v>MAD-473</v>
      </c>
      <c r="B53" s="23"/>
      <c r="C53" s="24">
        <f>'SC_Loop 1'!C53</f>
        <v>3.5E-4</v>
      </c>
      <c r="D53" s="68">
        <f t="shared" si="3"/>
        <v>0</v>
      </c>
      <c r="E53" s="233">
        <f>B53*'System Calculation'!$I$13</f>
        <v>0</v>
      </c>
      <c r="F53" s="24">
        <f>'SC_Loop 1'!F53</f>
        <v>1.4999999999999999E-2</v>
      </c>
      <c r="G53" s="68">
        <f t="shared" si="4"/>
        <v>0</v>
      </c>
      <c r="H53" s="60" t="str">
        <f t="shared" si="10"/>
        <v xml:space="preserve"> </v>
      </c>
      <c r="I53" s="60"/>
      <c r="J53" s="60"/>
      <c r="K53" s="60" t="str">
        <f t="shared" si="8"/>
        <v xml:space="preserve"> </v>
      </c>
      <c r="L53" s="123" t="str">
        <f t="shared" si="11"/>
        <v xml:space="preserve"> </v>
      </c>
    </row>
    <row r="54" spans="1:14" x14ac:dyDescent="0.25">
      <c r="A54" s="22" t="str">
        <f>'SC_Loop 1'!A54</f>
        <v>MAD-481</v>
      </c>
      <c r="B54" s="23"/>
      <c r="C54" s="24">
        <f>'SC_Loop 1'!C54</f>
        <v>2.9999999999999997E-4</v>
      </c>
      <c r="D54" s="68">
        <f t="shared" si="3"/>
        <v>0</v>
      </c>
      <c r="E54" s="233">
        <f>B54*'System Calculation'!$I$14</f>
        <v>0</v>
      </c>
      <c r="F54" s="24">
        <f>'SC_Loop 1'!F54</f>
        <v>3.0000000000000001E-3</v>
      </c>
      <c r="G54" s="68">
        <f t="shared" si="4"/>
        <v>0</v>
      </c>
      <c r="H54" s="60"/>
      <c r="I54" s="60"/>
      <c r="J54" s="60" t="str">
        <f>IF(B54&lt;&gt;0,B54," ")</f>
        <v xml:space="preserve"> </v>
      </c>
      <c r="K54" s="60"/>
      <c r="L54" s="123" t="str">
        <f>IF(J54&lt;&gt;0,J54," ")</f>
        <v xml:space="preserve"> </v>
      </c>
      <c r="N54" s="41"/>
    </row>
    <row r="55" spans="1:14" x14ac:dyDescent="0.25">
      <c r="A55" s="22" t="str">
        <f>'SC_Loop 1'!A55</f>
        <v>MAD-490</v>
      </c>
      <c r="B55" s="23"/>
      <c r="C55" s="24">
        <f>'SC_Loop 1'!C55</f>
        <v>2.9999999999999997E-4</v>
      </c>
      <c r="D55" s="68">
        <f t="shared" si="3"/>
        <v>0</v>
      </c>
      <c r="E55" s="233"/>
      <c r="F55" s="24">
        <f>'SC_Loop 1'!F55</f>
        <v>0.05</v>
      </c>
      <c r="G55" s="68">
        <f t="shared" si="4"/>
        <v>0</v>
      </c>
      <c r="H55" s="60"/>
      <c r="I55" s="60"/>
      <c r="J55" s="60"/>
      <c r="K55" s="60"/>
      <c r="L55" s="123"/>
    </row>
    <row r="56" spans="1:14" x14ac:dyDescent="0.25">
      <c r="A56" s="22" t="str">
        <f>'SC_Loop 1'!A56</f>
        <v>PAD-10</v>
      </c>
      <c r="B56" s="23"/>
      <c r="C56" s="24">
        <f>'SC_Loop 1'!C56</f>
        <v>6.2500000000000001E-4</v>
      </c>
      <c r="D56" s="68">
        <f t="shared" si="3"/>
        <v>0</v>
      </c>
      <c r="E56" s="233">
        <f>IF(B56&gt;10,10,B56)</f>
        <v>0</v>
      </c>
      <c r="F56" s="24">
        <f>'SC_Loop 1'!F56</f>
        <v>5.0000000000000001E-3</v>
      </c>
      <c r="G56" s="68">
        <f t="shared" si="4"/>
        <v>0</v>
      </c>
      <c r="H56" s="60"/>
      <c r="I56" s="60"/>
      <c r="J56" s="60"/>
      <c r="K56" s="60"/>
      <c r="L56" s="123"/>
    </row>
    <row r="57" spans="1:14" x14ac:dyDescent="0.25">
      <c r="A57" s="22" t="str">
        <f>'SC_Loop 1'!A57</f>
        <v>PAD-10A-I</v>
      </c>
      <c r="B57" s="23"/>
      <c r="C57" s="24">
        <f>'SC_Loop 1'!C57</f>
        <v>1.85E-4</v>
      </c>
      <c r="D57" s="68">
        <f t="shared" si="3"/>
        <v>0</v>
      </c>
      <c r="E57" s="233">
        <f>IF(B57&gt;10,10,B57)</f>
        <v>0</v>
      </c>
      <c r="F57" s="24">
        <f>'SC_Loop 1'!F57</f>
        <v>4.0000000000000001E-3</v>
      </c>
      <c r="G57" s="68">
        <f t="shared" si="4"/>
        <v>0</v>
      </c>
      <c r="H57" s="60"/>
      <c r="I57" s="60"/>
      <c r="J57" s="60"/>
      <c r="K57" s="60"/>
      <c r="L57" s="123"/>
    </row>
    <row r="58" spans="1:14" x14ac:dyDescent="0.25">
      <c r="A58" s="22" t="str">
        <f>'SC_Loop 1'!A58</f>
        <v>TPLD-100 (CCD-102) = 3 loop address</v>
      </c>
      <c r="B58" s="23"/>
      <c r="C58" s="24">
        <f>'SC_Loop 1'!C58</f>
        <v>2.9999999999999997E-4</v>
      </c>
      <c r="D58" s="68">
        <f t="shared" si="3"/>
        <v>0</v>
      </c>
      <c r="E58" s="233"/>
      <c r="F58" s="24">
        <f>'SC_Loop 1'!F58</f>
        <v>3.0000000000000001E-3</v>
      </c>
      <c r="G58" s="68">
        <f t="shared" si="4"/>
        <v>0</v>
      </c>
      <c r="H58" s="60"/>
      <c r="I58" s="60"/>
      <c r="J58" s="60"/>
      <c r="K58" s="60"/>
      <c r="L58" s="123" t="str">
        <f>IF(B58&lt;&gt;0,3*B58," ")</f>
        <v xml:space="preserve"> </v>
      </c>
    </row>
    <row r="59" spans="1:14" x14ac:dyDescent="0.25">
      <c r="A59" s="22" t="str">
        <f>'SC_Loop 1'!A59</f>
        <v>TPLD-100 (CCD-104) = 5 loop address</v>
      </c>
      <c r="B59" s="23"/>
      <c r="C59" s="24">
        <f>'SC_Loop 1'!C59</f>
        <v>2.9999999999999997E-4</v>
      </c>
      <c r="D59" s="68">
        <f t="shared" si="3"/>
        <v>0</v>
      </c>
      <c r="E59" s="233"/>
      <c r="F59" s="24">
        <f>'SC_Loop 1'!F59</f>
        <v>3.0000000000000001E-3</v>
      </c>
      <c r="G59" s="68">
        <f t="shared" si="4"/>
        <v>0</v>
      </c>
      <c r="H59" s="60"/>
      <c r="I59" s="60"/>
      <c r="J59" s="60"/>
      <c r="K59" s="60"/>
      <c r="L59" s="123" t="str">
        <f>IF(B59&lt;&gt;0,5*B59," ")</f>
        <v xml:space="preserve"> </v>
      </c>
    </row>
    <row r="60" spans="1:14" x14ac:dyDescent="0.25">
      <c r="A60" s="22" t="str">
        <f>'SC_Loop 1'!A60</f>
        <v>TPLD-100 (CCD-108) = 9 loop address</v>
      </c>
      <c r="B60" s="23"/>
      <c r="C60" s="24">
        <f>'SC_Loop 1'!C60</f>
        <v>2.9999999999999997E-4</v>
      </c>
      <c r="D60" s="68">
        <f t="shared" si="3"/>
        <v>0</v>
      </c>
      <c r="E60" s="233"/>
      <c r="F60" s="24">
        <f>'SC_Loop 1'!F60</f>
        <v>3.0000000000000001E-3</v>
      </c>
      <c r="G60" s="68">
        <f t="shared" si="4"/>
        <v>0</v>
      </c>
      <c r="H60" s="60"/>
      <c r="I60" s="60"/>
      <c r="J60" s="60"/>
      <c r="K60" s="60"/>
      <c r="L60" s="123" t="str">
        <f>IF(B60&lt;&gt;0,9*B60," ")</f>
        <v xml:space="preserve"> </v>
      </c>
    </row>
    <row r="61" spans="1:14" x14ac:dyDescent="0.25">
      <c r="A61" s="22" t="str">
        <f>'SC_Loop 1'!A61</f>
        <v>TPLD-100 (CCD-112) = 13 loop address</v>
      </c>
      <c r="B61" s="23"/>
      <c r="C61" s="24">
        <f>'SC_Loop 1'!C61</f>
        <v>2.9999999999999997E-4</v>
      </c>
      <c r="D61" s="68">
        <f t="shared" si="3"/>
        <v>0</v>
      </c>
      <c r="E61" s="233"/>
      <c r="F61" s="24">
        <f>'SC_Loop 1'!F61</f>
        <v>3.0000000000000001E-3</v>
      </c>
      <c r="G61" s="68">
        <f t="shared" si="4"/>
        <v>0</v>
      </c>
      <c r="H61" s="60"/>
      <c r="I61" s="60"/>
      <c r="J61" s="60"/>
      <c r="K61" s="60"/>
      <c r="L61" s="123" t="str">
        <f>IF(B61&lt;&gt;0,13*B61," ")</f>
        <v xml:space="preserve"> </v>
      </c>
    </row>
    <row r="62" spans="1:14" ht="13.8" thickBot="1" x14ac:dyDescent="0.3">
      <c r="A62" s="126" t="str">
        <f>'SC_Loop 1'!A62</f>
        <v>TPLD-100 (CCD-103) = 7 loop address</v>
      </c>
      <c r="B62" s="127"/>
      <c r="C62" s="199">
        <f>'SC_Loop 1'!C62</f>
        <v>2.9999999999999997E-4</v>
      </c>
      <c r="D62" s="128">
        <f t="shared" si="3"/>
        <v>0</v>
      </c>
      <c r="E62" s="235"/>
      <c r="F62" s="199">
        <f>'SC_Loop 1'!F62</f>
        <v>3.0000000000000001E-3</v>
      </c>
      <c r="G62" s="128">
        <f t="shared" si="4"/>
        <v>0</v>
      </c>
      <c r="H62" s="50"/>
      <c r="I62" s="50"/>
      <c r="J62" s="50"/>
      <c r="K62" s="141"/>
      <c r="L62" s="129" t="str">
        <f>IF(B62&lt;&gt;0,7*B62," ")</f>
        <v xml:space="preserve"> </v>
      </c>
    </row>
    <row r="63" spans="1:14" s="7" customFormat="1" ht="13.8" thickBot="1" x14ac:dyDescent="0.3">
      <c r="A63" s="19" t="s">
        <v>8</v>
      </c>
      <c r="B63" s="73">
        <f>SUM(B15:B55)+SUM(L58:L62)</f>
        <v>0</v>
      </c>
      <c r="C63" s="20"/>
      <c r="D63" s="70">
        <f>SUM(D15:D62)</f>
        <v>0</v>
      </c>
      <c r="E63" s="72">
        <f>SUM(E15:E55)</f>
        <v>0</v>
      </c>
      <c r="F63" s="70"/>
      <c r="G63" s="70">
        <f>SUM(G15:G62)</f>
        <v>0</v>
      </c>
      <c r="H63" s="70">
        <f t="shared" ref="H63:L63" si="12">SUM(H15:H62)</f>
        <v>0</v>
      </c>
      <c r="I63" s="73">
        <f t="shared" si="12"/>
        <v>0</v>
      </c>
      <c r="J63" s="73">
        <f t="shared" si="12"/>
        <v>0</v>
      </c>
      <c r="K63" s="73">
        <f t="shared" si="12"/>
        <v>0</v>
      </c>
      <c r="L63" s="142">
        <f t="shared" si="12"/>
        <v>0</v>
      </c>
    </row>
    <row r="64" spans="1:14" s="7" customFormat="1" x14ac:dyDescent="0.25">
      <c r="A64" s="29"/>
      <c r="B64" s="119"/>
      <c r="C64" s="120"/>
      <c r="D64" s="121"/>
      <c r="E64" s="122"/>
      <c r="F64" s="121"/>
      <c r="G64" s="121"/>
      <c r="H64" s="121"/>
      <c r="I64" s="121"/>
      <c r="J64" s="121"/>
      <c r="K64" s="119"/>
      <c r="L64" s="119"/>
    </row>
    <row r="65" spans="1:12" ht="14.4" customHeight="1" thickBot="1" x14ac:dyDescent="0.3">
      <c r="E65" s="32"/>
      <c r="K65" s="150" t="str">
        <f>IF($L$63&gt;250,"Error: The Loop cannot contain more than 250 addresses","")</f>
        <v/>
      </c>
    </row>
    <row r="66" spans="1:12" ht="14.4" customHeight="1" thickBot="1" x14ac:dyDescent="0.3">
      <c r="A66" s="19" t="s">
        <v>137</v>
      </c>
      <c r="B66" s="130"/>
      <c r="C66" s="130"/>
      <c r="D66" s="131"/>
      <c r="E66" s="32"/>
    </row>
    <row r="67" spans="1:12" ht="14.4" customHeight="1" x14ac:dyDescent="0.25">
      <c r="A67" s="111" t="s">
        <v>138</v>
      </c>
      <c r="B67" s="139">
        <v>1.72E-2</v>
      </c>
      <c r="C67" s="52"/>
      <c r="D67" s="134" t="s">
        <v>139</v>
      </c>
      <c r="E67" s="32"/>
    </row>
    <row r="68" spans="1:12" ht="14.4" customHeight="1" x14ac:dyDescent="0.25">
      <c r="A68" s="39" t="s">
        <v>140</v>
      </c>
      <c r="B68" s="137">
        <f>D63</f>
        <v>0</v>
      </c>
      <c r="C68" s="60"/>
      <c r="D68" s="109" t="s">
        <v>9</v>
      </c>
      <c r="E68" s="32"/>
    </row>
    <row r="69" spans="1:12" ht="14.4" customHeight="1" x14ac:dyDescent="0.25">
      <c r="A69" s="39" t="s">
        <v>141</v>
      </c>
      <c r="B69" s="137">
        <f>G63-H63</f>
        <v>0</v>
      </c>
      <c r="C69" s="60"/>
      <c r="D69" s="109" t="s">
        <v>9</v>
      </c>
      <c r="E69" s="32"/>
    </row>
    <row r="70" spans="1:12" ht="14.4" customHeight="1" x14ac:dyDescent="0.25">
      <c r="A70" s="39" t="s">
        <v>142</v>
      </c>
      <c r="B70" s="137">
        <f>H63</f>
        <v>0</v>
      </c>
      <c r="C70" s="60"/>
      <c r="D70" s="109" t="s">
        <v>9</v>
      </c>
      <c r="E70" s="32"/>
    </row>
    <row r="71" spans="1:12" ht="14.4" customHeight="1" x14ac:dyDescent="0.25">
      <c r="A71" s="39" t="s">
        <v>143</v>
      </c>
      <c r="B71" s="137">
        <f>SUM(B68:B70)</f>
        <v>0</v>
      </c>
      <c r="C71" s="60"/>
      <c r="D71" s="109" t="s">
        <v>9</v>
      </c>
      <c r="E71" s="32"/>
    </row>
    <row r="72" spans="1:12" ht="14.4" customHeight="1" thickBot="1" x14ac:dyDescent="0.3">
      <c r="A72" s="140" t="s">
        <v>144</v>
      </c>
      <c r="B72" s="124">
        <v>6.9</v>
      </c>
      <c r="C72" s="124"/>
      <c r="D72" s="34" t="s">
        <v>145</v>
      </c>
      <c r="E72" s="32"/>
    </row>
    <row r="73" spans="1:12" ht="14.4" customHeight="1" thickBot="1" x14ac:dyDescent="0.3">
      <c r="A73" s="17"/>
      <c r="E73" s="32"/>
    </row>
    <row r="74" spans="1:12" ht="14.4" customHeight="1" thickBot="1" x14ac:dyDescent="0.3">
      <c r="A74" s="8" t="s">
        <v>155</v>
      </c>
      <c r="B74" s="147"/>
      <c r="C74" s="147"/>
      <c r="D74" s="147"/>
      <c r="E74" s="162"/>
      <c r="F74" s="147"/>
      <c r="G74" s="147"/>
      <c r="H74" s="147"/>
      <c r="I74" s="147"/>
      <c r="J74" s="147"/>
      <c r="K74" s="148"/>
      <c r="L74" s="151" t="s">
        <v>151</v>
      </c>
    </row>
    <row r="75" spans="1:12" ht="14.4" customHeight="1" x14ac:dyDescent="0.25">
      <c r="A75" s="169" t="s">
        <v>156</v>
      </c>
      <c r="B75" s="52">
        <v>1000</v>
      </c>
      <c r="C75" s="52"/>
      <c r="D75" s="52">
        <v>1500</v>
      </c>
      <c r="E75" s="161"/>
      <c r="F75" s="52"/>
      <c r="G75" s="52">
        <v>2000</v>
      </c>
      <c r="H75" s="52">
        <v>2500</v>
      </c>
      <c r="I75" s="52">
        <v>3000</v>
      </c>
      <c r="J75" s="165">
        <v>3500</v>
      </c>
      <c r="K75" s="152" t="s">
        <v>152</v>
      </c>
    </row>
    <row r="76" spans="1:12" ht="14.4" customHeight="1" x14ac:dyDescent="0.25">
      <c r="A76" s="138" t="s">
        <v>157</v>
      </c>
      <c r="B76" s="154" t="e">
        <f>((($B$67*B75)/B78)*2)</f>
        <v>#DIV/0!</v>
      </c>
      <c r="C76" s="154" t="e">
        <f t="shared" ref="C76:J76" si="13">((($B$67*C75)/C78)*2)</f>
        <v>#DIV/0!</v>
      </c>
      <c r="D76" s="154" t="e">
        <f t="shared" si="13"/>
        <v>#DIV/0!</v>
      </c>
      <c r="E76" s="154" t="e">
        <f t="shared" si="13"/>
        <v>#DIV/0!</v>
      </c>
      <c r="F76" s="154" t="e">
        <f t="shared" si="13"/>
        <v>#DIV/0!</v>
      </c>
      <c r="G76" s="154" t="e">
        <f t="shared" si="13"/>
        <v>#DIV/0!</v>
      </c>
      <c r="H76" s="154" t="e">
        <f t="shared" si="13"/>
        <v>#DIV/0!</v>
      </c>
      <c r="I76" s="154" t="e">
        <f t="shared" si="13"/>
        <v>#DIV/0!</v>
      </c>
      <c r="J76" s="154" t="e">
        <f t="shared" si="13"/>
        <v>#DIV/0!</v>
      </c>
      <c r="K76" s="153" t="s">
        <v>153</v>
      </c>
    </row>
    <row r="77" spans="1:12" ht="14.4" customHeight="1" thickBot="1" x14ac:dyDescent="0.3">
      <c r="A77" s="168" t="s">
        <v>158</v>
      </c>
      <c r="B77" s="154" t="e">
        <f>B76/2</f>
        <v>#DIV/0!</v>
      </c>
      <c r="C77" s="154" t="e">
        <f t="shared" ref="C77:G77" si="14">C76/2</f>
        <v>#DIV/0!</v>
      </c>
      <c r="D77" s="154" t="e">
        <f t="shared" si="14"/>
        <v>#DIV/0!</v>
      </c>
      <c r="E77" s="154" t="e">
        <f t="shared" si="14"/>
        <v>#DIV/0!</v>
      </c>
      <c r="F77" s="154" t="e">
        <f t="shared" si="14"/>
        <v>#DIV/0!</v>
      </c>
      <c r="G77" s="154" t="e">
        <f t="shared" si="14"/>
        <v>#DIV/0!</v>
      </c>
      <c r="H77" s="154" t="e">
        <f>H76/2</f>
        <v>#DIV/0!</v>
      </c>
      <c r="I77" s="154" t="e">
        <f>I76/2</f>
        <v>#DIV/0!</v>
      </c>
      <c r="J77" s="154" t="e">
        <f>J76/2</f>
        <v>#DIV/0!</v>
      </c>
      <c r="K77" s="167" t="s">
        <v>153</v>
      </c>
    </row>
    <row r="78" spans="1:12" ht="14.4" customHeight="1" thickBot="1" x14ac:dyDescent="0.3">
      <c r="A78" s="19" t="s">
        <v>159</v>
      </c>
      <c r="B78" s="194" t="e">
        <f t="shared" ref="B78:J78" si="15">IF((($B$67*B$75)/(($B$72-((SUM($B$16,$B$18,$B$20,$B$22)*0.155)*$B$71))/$B$71))&lt;0.5,0.5,(($B$67*B$75)/(($B$72-((SUM($B$16,$B$18,$B$20,$B$22)*0.155)*$B$71))/$B$71)))</f>
        <v>#DIV/0!</v>
      </c>
      <c r="C78" s="194" t="e">
        <f t="shared" si="15"/>
        <v>#DIV/0!</v>
      </c>
      <c r="D78" s="194" t="e">
        <f t="shared" si="15"/>
        <v>#DIV/0!</v>
      </c>
      <c r="E78" s="194" t="e">
        <f t="shared" si="15"/>
        <v>#DIV/0!</v>
      </c>
      <c r="F78" s="194" t="e">
        <f t="shared" si="15"/>
        <v>#DIV/0!</v>
      </c>
      <c r="G78" s="194" t="e">
        <f t="shared" si="15"/>
        <v>#DIV/0!</v>
      </c>
      <c r="H78" s="194" t="e">
        <f t="shared" si="15"/>
        <v>#DIV/0!</v>
      </c>
      <c r="I78" s="194" t="e">
        <f t="shared" si="15"/>
        <v>#DIV/0!</v>
      </c>
      <c r="J78" s="194" t="e">
        <f t="shared" si="15"/>
        <v>#DIV/0!</v>
      </c>
      <c r="K78" s="108" t="s">
        <v>131</v>
      </c>
    </row>
    <row r="79" spans="1:12" ht="14.4" customHeight="1" thickBot="1" x14ac:dyDescent="0.3">
      <c r="A79" s="17"/>
      <c r="E79" s="32"/>
    </row>
    <row r="80" spans="1:12" ht="14.4" customHeight="1" thickBot="1" x14ac:dyDescent="0.3">
      <c r="A80" s="8" t="s">
        <v>160</v>
      </c>
      <c r="B80" s="147"/>
      <c r="C80" s="147"/>
      <c r="D80" s="147"/>
      <c r="E80" s="162"/>
      <c r="F80" s="147"/>
      <c r="G80" s="147"/>
      <c r="H80" s="147"/>
      <c r="I80" s="147"/>
      <c r="J80" s="147"/>
      <c r="K80" s="148"/>
      <c r="L80" s="151" t="s">
        <v>154</v>
      </c>
    </row>
    <row r="81" spans="1:11" ht="14.4" customHeight="1" x14ac:dyDescent="0.25">
      <c r="A81" s="163" t="s">
        <v>161</v>
      </c>
      <c r="B81" s="48">
        <v>0.5</v>
      </c>
      <c r="C81" s="52"/>
      <c r="D81" s="52">
        <v>0.75</v>
      </c>
      <c r="E81" s="161"/>
      <c r="F81" s="52"/>
      <c r="G81" s="52">
        <v>1</v>
      </c>
      <c r="H81" s="52">
        <v>1.5</v>
      </c>
      <c r="I81" s="52">
        <v>2.5</v>
      </c>
      <c r="J81" s="165">
        <v>4</v>
      </c>
      <c r="K81" s="152" t="s">
        <v>131</v>
      </c>
    </row>
    <row r="82" spans="1:11" ht="14.4" customHeight="1" x14ac:dyDescent="0.25">
      <c r="A82" s="164" t="s">
        <v>157</v>
      </c>
      <c r="B82" s="154" t="e">
        <f t="shared" ref="B82:J82" si="16">$B$67*B84/B81*2</f>
        <v>#DIV/0!</v>
      </c>
      <c r="C82" s="154" t="e">
        <f t="shared" si="16"/>
        <v>#DIV/0!</v>
      </c>
      <c r="D82" s="154" t="e">
        <f t="shared" si="16"/>
        <v>#DIV/0!</v>
      </c>
      <c r="E82" s="154" t="e">
        <f t="shared" si="16"/>
        <v>#DIV/0!</v>
      </c>
      <c r="F82" s="154" t="e">
        <f t="shared" si="16"/>
        <v>#DIV/0!</v>
      </c>
      <c r="G82" s="154" t="e">
        <f t="shared" si="16"/>
        <v>#DIV/0!</v>
      </c>
      <c r="H82" s="154" t="e">
        <f t="shared" si="16"/>
        <v>#DIV/0!</v>
      </c>
      <c r="I82" s="154" t="e">
        <f t="shared" si="16"/>
        <v>#DIV/0!</v>
      </c>
      <c r="J82" s="154" t="e">
        <f t="shared" si="16"/>
        <v>#DIV/0!</v>
      </c>
      <c r="K82" s="153" t="s">
        <v>153</v>
      </c>
    </row>
    <row r="83" spans="1:11" ht="14.4" customHeight="1" thickBot="1" x14ac:dyDescent="0.3">
      <c r="A83" s="166" t="s">
        <v>158</v>
      </c>
      <c r="B83" s="154" t="e">
        <f>B82/2</f>
        <v>#DIV/0!</v>
      </c>
      <c r="C83" s="154" t="e">
        <f t="shared" ref="C83:G83" si="17">C82/2</f>
        <v>#DIV/0!</v>
      </c>
      <c r="D83" s="154" t="e">
        <f t="shared" si="17"/>
        <v>#DIV/0!</v>
      </c>
      <c r="E83" s="154" t="e">
        <f t="shared" si="17"/>
        <v>#DIV/0!</v>
      </c>
      <c r="F83" s="154" t="e">
        <f t="shared" si="17"/>
        <v>#DIV/0!</v>
      </c>
      <c r="G83" s="154" t="e">
        <f t="shared" si="17"/>
        <v>#DIV/0!</v>
      </c>
      <c r="H83" s="154" t="e">
        <f>H82/2</f>
        <v>#DIV/0!</v>
      </c>
      <c r="I83" s="154" t="e">
        <f>I82/2</f>
        <v>#DIV/0!</v>
      </c>
      <c r="J83" s="154" t="e">
        <f>J82/2</f>
        <v>#DIV/0!</v>
      </c>
      <c r="K83" s="167" t="s">
        <v>153</v>
      </c>
    </row>
    <row r="84" spans="1:11" ht="14.4" customHeight="1" thickBot="1" x14ac:dyDescent="0.3">
      <c r="A84" s="108" t="s">
        <v>162</v>
      </c>
      <c r="B84" s="194" t="e">
        <f t="shared" ref="B84:J84" si="18">IF((((($B$72-((SUM($B$16,$B$18,$B$20,$B$22)*0.155)*$B$71))/$B$71)*B$81)/$B$67)&gt;3500,3500,(((($B$72-((SUM($B$16,$B$18,$B$20,$B$22)*0.155)*$B$71))/$B$71)*B$81)/$B$67))</f>
        <v>#DIV/0!</v>
      </c>
      <c r="C84" s="194" t="e">
        <f t="shared" si="18"/>
        <v>#DIV/0!</v>
      </c>
      <c r="D84" s="194" t="e">
        <f t="shared" si="18"/>
        <v>#DIV/0!</v>
      </c>
      <c r="E84" s="194" t="e">
        <f t="shared" si="18"/>
        <v>#DIV/0!</v>
      </c>
      <c r="F84" s="194" t="e">
        <f t="shared" si="18"/>
        <v>#DIV/0!</v>
      </c>
      <c r="G84" s="194" t="e">
        <f t="shared" si="18"/>
        <v>#DIV/0!</v>
      </c>
      <c r="H84" s="194" t="e">
        <f t="shared" si="18"/>
        <v>#DIV/0!</v>
      </c>
      <c r="I84" s="194" t="e">
        <f t="shared" si="18"/>
        <v>#DIV/0!</v>
      </c>
      <c r="J84" s="194" t="e">
        <f t="shared" si="18"/>
        <v>#DIV/0!</v>
      </c>
      <c r="K84" s="108" t="s">
        <v>152</v>
      </c>
    </row>
    <row r="85" spans="1:11" ht="14.4" customHeight="1" thickBot="1" x14ac:dyDescent="0.3">
      <c r="A85" s="17"/>
      <c r="E85" s="32"/>
    </row>
    <row r="86" spans="1:11" ht="14.4" customHeight="1" thickBot="1" x14ac:dyDescent="0.3">
      <c r="A86" s="8" t="s">
        <v>163</v>
      </c>
      <c r="B86" s="147"/>
      <c r="C86" s="147"/>
      <c r="D86" s="148"/>
      <c r="E86" s="32"/>
    </row>
    <row r="87" spans="1:11" ht="14.4" customHeight="1" x14ac:dyDescent="0.25">
      <c r="A87" s="158" t="s">
        <v>164</v>
      </c>
      <c r="B87" s="52">
        <f>$B$8</f>
        <v>1.5</v>
      </c>
      <c r="C87" s="52"/>
      <c r="D87" s="114" t="s">
        <v>131</v>
      </c>
      <c r="E87" s="32"/>
      <c r="H87" s="150" t="str">
        <f>IF(B87&lt;0.5,"Error: The Minimum Cable Seccion in the Loop is 0,5 mm2","")</f>
        <v/>
      </c>
    </row>
    <row r="88" spans="1:11" ht="14.4" customHeight="1" x14ac:dyDescent="0.25">
      <c r="A88" s="39" t="s">
        <v>165</v>
      </c>
      <c r="B88" s="60">
        <f>$B$9</f>
        <v>2000</v>
      </c>
      <c r="C88" s="60"/>
      <c r="D88" s="109" t="s">
        <v>131</v>
      </c>
      <c r="E88" s="32"/>
      <c r="H88" s="150" t="str">
        <f>IF(B88&gt;3500,"Error: The Maximum Lenght in the Line is 3500 meters","")</f>
        <v/>
      </c>
    </row>
    <row r="89" spans="1:11" ht="14.4" customHeight="1" x14ac:dyDescent="0.25">
      <c r="A89" s="39" t="s">
        <v>166</v>
      </c>
      <c r="B89" s="156">
        <f>((($B$67*B88)/B87)*2)+(SUM(B16,B18,B20,B22,)*0.155)</f>
        <v>45.866666666666667</v>
      </c>
      <c r="C89" s="60"/>
      <c r="D89" s="123" t="s">
        <v>153</v>
      </c>
      <c r="E89" s="32"/>
    </row>
    <row r="90" spans="1:11" ht="14.4" customHeight="1" thickBot="1" x14ac:dyDescent="0.3">
      <c r="A90" s="140" t="s">
        <v>167</v>
      </c>
      <c r="B90" s="155">
        <f>B89/2</f>
        <v>22.933333333333334</v>
      </c>
      <c r="C90" s="124"/>
      <c r="D90" s="125" t="s">
        <v>153</v>
      </c>
      <c r="E90" s="32"/>
    </row>
    <row r="91" spans="1:11" ht="14.4" customHeight="1" thickBot="1" x14ac:dyDescent="0.3">
      <c r="A91" s="170" t="s">
        <v>168</v>
      </c>
      <c r="B91" s="172">
        <f>$B$72/$B$90</f>
        <v>0.30087209302325585</v>
      </c>
      <c r="C91" s="171"/>
      <c r="D91" s="173" t="s">
        <v>9</v>
      </c>
      <c r="E91" s="32"/>
    </row>
    <row r="92" spans="1:11" ht="14.4" customHeight="1" thickBot="1" x14ac:dyDescent="0.3">
      <c r="A92" s="160" t="s">
        <v>134</v>
      </c>
      <c r="B92" s="147"/>
      <c r="C92" s="147"/>
      <c r="D92" s="148"/>
      <c r="E92" s="32"/>
    </row>
    <row r="93" spans="1:11" ht="14.4" customHeight="1" thickBot="1" x14ac:dyDescent="0.3">
      <c r="A93" s="160" t="s">
        <v>135</v>
      </c>
      <c r="B93" s="148"/>
      <c r="C93" s="11"/>
      <c r="D93" s="159" t="str">
        <f>IF($B$71&gt;0.4,"FAIL",IF($B$91&gt;=$B$71,"OK","FAIL"))</f>
        <v>OK</v>
      </c>
      <c r="E93" s="32"/>
      <c r="H93" s="150" t="str">
        <f>IF($B$71&gt;0.4,"Error: The Loop Current is upper that Maximum Current allowed",IF($B$91&lt;$B$71,"Error: The Loop Current is upper that Maximum Current allowed",""))</f>
        <v/>
      </c>
    </row>
    <row r="94" spans="1:11" ht="14.4" customHeight="1" thickBot="1" x14ac:dyDescent="0.3">
      <c r="A94" s="160" t="s">
        <v>136</v>
      </c>
      <c r="B94" s="148"/>
      <c r="C94" s="136"/>
      <c r="D94" s="157" t="str">
        <f>IF($L$63&lt;=250,"OK","FAIL")</f>
        <v>OK</v>
      </c>
      <c r="E94" s="32"/>
      <c r="H94" s="150" t="str">
        <f>IF($L$63&gt;250,"Error: The Loop cannot contain more than 250 addresses","")</f>
        <v/>
      </c>
    </row>
    <row r="95" spans="1:11" ht="14.4" customHeight="1" x14ac:dyDescent="0.25">
      <c r="A95" s="17"/>
      <c r="E95" s="32"/>
    </row>
    <row r="97" spans="1:12" ht="27" customHeight="1" x14ac:dyDescent="0.25">
      <c r="A97" s="238" t="s">
        <v>13</v>
      </c>
      <c r="B97" s="238"/>
      <c r="C97" s="238"/>
      <c r="D97" s="238"/>
      <c r="E97" s="238"/>
      <c r="F97" s="238"/>
      <c r="G97" s="238"/>
      <c r="H97" s="238"/>
      <c r="I97" s="238"/>
      <c r="J97" s="238"/>
      <c r="K97" s="238"/>
      <c r="L97" s="238"/>
    </row>
  </sheetData>
  <sheetProtection algorithmName="SHA-512" hashValue="slgmjdyGJ1GLl6mKoELanh44STQpd01fzbJ3Os1wf1i6MlI38y9dcPqh+tYFnQU+9JCFxqUCdgUFroR/stsuwQ==" saltValue="RhKmxwJGNOJp7y8kv3r/nQ==" spinCount="100000" sheet="1" sort="0" autoFilter="0" pivotTables="0"/>
  <mergeCells count="5">
    <mergeCell ref="J7:K7"/>
    <mergeCell ref="G8:I9"/>
    <mergeCell ref="J8:K8"/>
    <mergeCell ref="J9:K9"/>
    <mergeCell ref="A97:L97"/>
  </mergeCells>
  <conditionalFormatting sqref="I43 N39:N42">
    <cfRule type="expression" dxfId="25" priority="24" stopIfTrue="1">
      <formula>$B$38&gt;2</formula>
    </cfRule>
    <cfRule type="expression" dxfId="24" priority="25" stopIfTrue="1">
      <formula>$B$38&lt;3</formula>
    </cfRule>
  </conditionalFormatting>
  <conditionalFormatting sqref="N35:N36">
    <cfRule type="expression" dxfId="23" priority="22" stopIfTrue="1">
      <formula>$B$37&gt;4</formula>
    </cfRule>
    <cfRule type="expression" dxfId="22" priority="23" stopIfTrue="1">
      <formula>$B$37&lt;5</formula>
    </cfRule>
  </conditionalFormatting>
  <conditionalFormatting sqref="N33">
    <cfRule type="expression" dxfId="21" priority="20" stopIfTrue="1">
      <formula>$B$38&gt;2</formula>
    </cfRule>
    <cfRule type="expression" dxfId="20" priority="21" stopIfTrue="1">
      <formula>$B$38&lt;3</formula>
    </cfRule>
  </conditionalFormatting>
  <conditionalFormatting sqref="N34">
    <cfRule type="expression" dxfId="19" priority="18" stopIfTrue="1">
      <formula>$B$38&gt;2</formula>
    </cfRule>
    <cfRule type="expression" dxfId="18" priority="19" stopIfTrue="1">
      <formula>$B$38&lt;3</formula>
    </cfRule>
  </conditionalFormatting>
  <conditionalFormatting sqref="N38">
    <cfRule type="expression" dxfId="17" priority="14" stopIfTrue="1">
      <formula>$B$38&gt;2</formula>
    </cfRule>
    <cfRule type="expression" dxfId="16" priority="15" stopIfTrue="1">
      <formula>$B$38&lt;3</formula>
    </cfRule>
  </conditionalFormatting>
  <conditionalFormatting sqref="N37">
    <cfRule type="expression" dxfId="15" priority="16" stopIfTrue="1">
      <formula>$B$38&gt;2</formula>
    </cfRule>
    <cfRule type="expression" dxfId="14" priority="17" stopIfTrue="1">
      <formula>$B$38&lt;3</formula>
    </cfRule>
  </conditionalFormatting>
  <conditionalFormatting sqref="J15:J45 J52:J62">
    <cfRule type="cellIs" dxfId="13" priority="13" operator="equal">
      <formula>0</formula>
    </cfRule>
  </conditionalFormatting>
  <conditionalFormatting sqref="L9">
    <cfRule type="cellIs" dxfId="12" priority="9" stopIfTrue="1" operator="equal">
      <formula>"FAIL"</formula>
    </cfRule>
  </conditionalFormatting>
  <conditionalFormatting sqref="D93">
    <cfRule type="cellIs" dxfId="11" priority="12" stopIfTrue="1" operator="equal">
      <formula>"FAIL"</formula>
    </cfRule>
  </conditionalFormatting>
  <conditionalFormatting sqref="D94">
    <cfRule type="cellIs" dxfId="10" priority="11" stopIfTrue="1" operator="equal">
      <formula>"FAIL"</formula>
    </cfRule>
  </conditionalFormatting>
  <conditionalFormatting sqref="L8">
    <cfRule type="cellIs" dxfId="9" priority="10" stopIfTrue="1" operator="equal">
      <formula>"FAIL"</formula>
    </cfRule>
  </conditionalFormatting>
  <conditionalFormatting sqref="B76:J77">
    <cfRule type="containsErrors" dxfId="8" priority="8">
      <formula>ISERROR(B76)</formula>
    </cfRule>
  </conditionalFormatting>
  <conditionalFormatting sqref="B82:J83">
    <cfRule type="containsErrors" dxfId="7" priority="7">
      <formula>ISERROR(B82)</formula>
    </cfRule>
  </conditionalFormatting>
  <conditionalFormatting sqref="B78">
    <cfRule type="containsErrors" dxfId="6" priority="26">
      <formula>ISERROR(B78)</formula>
    </cfRule>
  </conditionalFormatting>
  <conditionalFormatting sqref="D78:J78">
    <cfRule type="containsErrors" dxfId="5" priority="6">
      <formula>ISERROR(D78)</formula>
    </cfRule>
  </conditionalFormatting>
  <conditionalFormatting sqref="B84">
    <cfRule type="containsErrors" dxfId="4" priority="5">
      <formula>ISERROR(B84)</formula>
    </cfRule>
  </conditionalFormatting>
  <conditionalFormatting sqref="D84:J84">
    <cfRule type="containsErrors" dxfId="3" priority="4">
      <formula>ISERROR(D84)</formula>
    </cfRule>
  </conditionalFormatting>
  <conditionalFormatting sqref="N54">
    <cfRule type="expression" dxfId="2" priority="2" stopIfTrue="1">
      <formula>$B$37&gt;4</formula>
    </cfRule>
    <cfRule type="expression" dxfId="1" priority="3" stopIfTrue="1">
      <formula>$B$37&lt;5</formula>
    </cfRule>
  </conditionalFormatting>
  <conditionalFormatting sqref="J46:J51">
    <cfRule type="cellIs" dxfId="0" priority="1" operator="equal">
      <formula>0</formula>
    </cfRule>
  </conditionalFormatting>
  <pageMargins left="0.78740157480314965" right="0.39370078740157483" top="0.39370078740157483" bottom="0.39370078740157483" header="0" footer="0"/>
  <pageSetup paperSize="9" scale="87" orientation="portrait" horizontalDpi="1200" verticalDpi="12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421CE0D-5039-4B66-A1F2-6CF9CA09A0E9}">
          <x14:formula1>
            <xm:f>Datos!$F$16:$F$20</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5133E-1250-465B-9088-6E5E8C2898AD}">
  <sheetPr codeName="Hoja1"/>
  <dimension ref="A2:Y43"/>
  <sheetViews>
    <sheetView topLeftCell="A7" zoomScale="120" zoomScaleNormal="120" workbookViewId="0">
      <selection activeCell="R13" sqref="R13"/>
    </sheetView>
  </sheetViews>
  <sheetFormatPr baseColWidth="10" defaultRowHeight="13.2" x14ac:dyDescent="0.25"/>
  <cols>
    <col min="1" max="1" width="26.21875" bestFit="1" customWidth="1"/>
    <col min="2" max="2" width="26.21875" customWidth="1"/>
    <col min="3" max="3" width="12.109375" bestFit="1" customWidth="1"/>
    <col min="8" max="8" width="14.5546875" bestFit="1" customWidth="1"/>
    <col min="11" max="11" width="19.6640625" bestFit="1" customWidth="1"/>
    <col min="12" max="21" width="9" customWidth="1"/>
  </cols>
  <sheetData>
    <row r="2" spans="1:25" x14ac:dyDescent="0.25">
      <c r="A2" s="55" t="s">
        <v>86</v>
      </c>
      <c r="B2" s="7"/>
      <c r="F2" s="55" t="s">
        <v>85</v>
      </c>
      <c r="K2" s="41"/>
      <c r="L2" s="11"/>
      <c r="M2" s="11"/>
    </row>
    <row r="3" spans="1:25" x14ac:dyDescent="0.25">
      <c r="A3" s="53" t="s">
        <v>87</v>
      </c>
      <c r="B3" s="225"/>
      <c r="C3" s="225" t="s">
        <v>88</v>
      </c>
      <c r="D3" s="54" t="s">
        <v>89</v>
      </c>
      <c r="F3" s="53"/>
      <c r="G3" s="49" t="s">
        <v>83</v>
      </c>
      <c r="H3" s="54" t="s">
        <v>84</v>
      </c>
      <c r="K3" s="35" t="s">
        <v>98</v>
      </c>
      <c r="L3" s="12"/>
      <c r="M3" s="12"/>
    </row>
    <row r="4" spans="1:25" x14ac:dyDescent="0.25">
      <c r="A4" s="45" t="s">
        <v>90</v>
      </c>
      <c r="B4" s="41" t="str">
        <f t="shared" ref="B4:B17" si="0">K6</f>
        <v>CAD_150_1</v>
      </c>
      <c r="C4" s="217">
        <f>160/1000</f>
        <v>0.16</v>
      </c>
      <c r="D4" s="56">
        <f>200/1000</f>
        <v>0.2</v>
      </c>
      <c r="F4" s="45" t="s">
        <v>50</v>
      </c>
      <c r="G4" s="45">
        <v>12</v>
      </c>
      <c r="H4" s="45">
        <v>7.2</v>
      </c>
      <c r="I4" s="227">
        <v>24</v>
      </c>
      <c r="J4" t="s">
        <v>52</v>
      </c>
      <c r="K4" s="41" t="s">
        <v>99</v>
      </c>
      <c r="L4" s="41"/>
      <c r="M4" s="41"/>
    </row>
    <row r="5" spans="1:25" x14ac:dyDescent="0.25">
      <c r="A5" s="45" t="s">
        <v>57</v>
      </c>
      <c r="B5" s="41" t="str">
        <f t="shared" si="0"/>
        <v>CAD_150_2</v>
      </c>
      <c r="C5" s="217">
        <f>220/1000</f>
        <v>0.22</v>
      </c>
      <c r="D5" s="57">
        <f>255/1000</f>
        <v>0.255</v>
      </c>
      <c r="F5" s="45" t="s">
        <v>207</v>
      </c>
      <c r="G5" s="51">
        <v>12</v>
      </c>
      <c r="H5" s="46">
        <v>12</v>
      </c>
      <c r="I5" s="51">
        <v>18</v>
      </c>
      <c r="J5" t="s">
        <v>51</v>
      </c>
      <c r="K5" s="59"/>
      <c r="L5" s="59" t="str">
        <f>K6</f>
        <v>CAD_150_1</v>
      </c>
      <c r="M5" s="59" t="str">
        <f>K7</f>
        <v>CAD_150_2</v>
      </c>
      <c r="N5" s="59" t="str">
        <f>K8</f>
        <v>CAD_150_2_MB</v>
      </c>
      <c r="O5" s="59" t="str">
        <f>K9</f>
        <v>CAD_150_4</v>
      </c>
      <c r="P5" s="59" t="str">
        <f>K10</f>
        <v>CAD_150_8_4loop</v>
      </c>
      <c r="Q5" s="59" t="str">
        <f>K11</f>
        <v>CAD_150_8_6loop</v>
      </c>
      <c r="R5" s="59" t="str">
        <f>K12</f>
        <v>CAD_150_8_8loop</v>
      </c>
      <c r="S5" s="59" t="str">
        <f>K13</f>
        <v>CAD_150_8PLUS_4loop</v>
      </c>
      <c r="T5" s="59" t="str">
        <f>K14</f>
        <v>CAD_150_8PLUS_6loop</v>
      </c>
      <c r="U5" s="59" t="str">
        <f>K15</f>
        <v>CAD_150_8PLUS_8loop</v>
      </c>
      <c r="V5" t="str">
        <f>K16</f>
        <v>CAD_150_4_P</v>
      </c>
      <c r="W5" t="str">
        <f>K17</f>
        <v>CAD_150_8PLUS_P_4loop</v>
      </c>
      <c r="X5" t="str">
        <f>K18</f>
        <v>CAD_150_8PLUS_P_6loop</v>
      </c>
      <c r="Y5" t="str">
        <f>K19</f>
        <v>CAD_150_8PLUS_P_8loop</v>
      </c>
    </row>
    <row r="6" spans="1:25" x14ac:dyDescent="0.25">
      <c r="A6" s="45" t="s">
        <v>77</v>
      </c>
      <c r="B6" s="41" t="str">
        <f t="shared" si="0"/>
        <v>CAD_150_2_MB</v>
      </c>
      <c r="C6" s="217">
        <v>0.26</v>
      </c>
      <c r="D6" s="219">
        <v>0.3</v>
      </c>
      <c r="F6" s="45" t="s">
        <v>51</v>
      </c>
      <c r="G6" s="51">
        <v>12</v>
      </c>
      <c r="H6" s="46">
        <v>18</v>
      </c>
      <c r="I6" s="51">
        <v>12</v>
      </c>
      <c r="J6" t="s">
        <v>207</v>
      </c>
      <c r="K6" s="59" t="s">
        <v>100</v>
      </c>
      <c r="L6" s="59" t="s">
        <v>50</v>
      </c>
      <c r="M6" s="59" t="s">
        <v>50</v>
      </c>
      <c r="N6" s="59" t="s">
        <v>50</v>
      </c>
      <c r="O6" s="59" t="s">
        <v>50</v>
      </c>
      <c r="P6" s="59" t="s">
        <v>50</v>
      </c>
      <c r="Q6" s="59" t="s">
        <v>50</v>
      </c>
      <c r="R6" s="59" t="s">
        <v>50</v>
      </c>
      <c r="S6" s="74" t="s">
        <v>50</v>
      </c>
      <c r="T6" s="74" t="s">
        <v>50</v>
      </c>
      <c r="U6" s="74" t="s">
        <v>50</v>
      </c>
      <c r="V6" s="74" t="s">
        <v>50</v>
      </c>
      <c r="W6" s="74" t="s">
        <v>50</v>
      </c>
      <c r="X6" s="74" t="s">
        <v>50</v>
      </c>
      <c r="Y6" s="74" t="s">
        <v>50</v>
      </c>
    </row>
    <row r="7" spans="1:25" x14ac:dyDescent="0.25">
      <c r="A7" s="45" t="s">
        <v>58</v>
      </c>
      <c r="B7" s="41" t="str">
        <f t="shared" si="0"/>
        <v>CAD_150_4</v>
      </c>
      <c r="C7" s="217">
        <v>0.3</v>
      </c>
      <c r="D7" s="56">
        <v>0.34</v>
      </c>
      <c r="F7" s="47" t="s">
        <v>52</v>
      </c>
      <c r="G7" s="52">
        <v>12</v>
      </c>
      <c r="H7" s="48">
        <v>24</v>
      </c>
      <c r="I7" s="52">
        <v>7.2</v>
      </c>
      <c r="J7" t="s">
        <v>50</v>
      </c>
      <c r="K7" s="59" t="s">
        <v>101</v>
      </c>
      <c r="L7" s="60"/>
      <c r="M7" s="60"/>
      <c r="N7" s="60" t="s">
        <v>207</v>
      </c>
      <c r="O7" s="60" t="s">
        <v>207</v>
      </c>
      <c r="P7" s="59" t="s">
        <v>51</v>
      </c>
      <c r="Q7" s="59" t="s">
        <v>51</v>
      </c>
      <c r="R7" s="59" t="s">
        <v>51</v>
      </c>
      <c r="S7" s="59" t="s">
        <v>51</v>
      </c>
      <c r="T7" s="59" t="s">
        <v>51</v>
      </c>
      <c r="U7" s="59" t="s">
        <v>51</v>
      </c>
      <c r="V7" s="74"/>
      <c r="W7" s="59" t="s">
        <v>51</v>
      </c>
      <c r="X7" s="59" t="s">
        <v>51</v>
      </c>
      <c r="Y7" s="59" t="s">
        <v>51</v>
      </c>
    </row>
    <row r="8" spans="1:25" x14ac:dyDescent="0.25">
      <c r="A8" s="45" t="s">
        <v>91</v>
      </c>
      <c r="B8" s="41" t="str">
        <f t="shared" si="0"/>
        <v>CAD_150_8_4loop</v>
      </c>
      <c r="C8" s="217">
        <f>300/1000</f>
        <v>0.3</v>
      </c>
      <c r="D8" s="56">
        <f>340/1000</f>
        <v>0.34</v>
      </c>
      <c r="K8" s="59" t="s">
        <v>102</v>
      </c>
      <c r="L8" s="60"/>
      <c r="M8" s="60"/>
      <c r="N8" s="60"/>
      <c r="O8" s="60"/>
      <c r="P8" s="60"/>
      <c r="Q8" s="60"/>
      <c r="R8" s="60"/>
      <c r="S8" s="59" t="s">
        <v>52</v>
      </c>
      <c r="T8" s="59" t="s">
        <v>52</v>
      </c>
      <c r="U8" s="59" t="s">
        <v>52</v>
      </c>
      <c r="W8" s="59" t="s">
        <v>52</v>
      </c>
      <c r="X8" s="59" t="s">
        <v>52</v>
      </c>
      <c r="Y8" s="59" t="s">
        <v>52</v>
      </c>
    </row>
    <row r="9" spans="1:25" x14ac:dyDescent="0.25">
      <c r="A9" s="45" t="s">
        <v>92</v>
      </c>
      <c r="B9" s="41" t="str">
        <f t="shared" si="0"/>
        <v>CAD_150_8_6loop</v>
      </c>
      <c r="C9" s="217">
        <f>400/1000</f>
        <v>0.4</v>
      </c>
      <c r="D9" s="56">
        <f>440/1000</f>
        <v>0.44</v>
      </c>
      <c r="K9" s="59" t="s">
        <v>103</v>
      </c>
      <c r="L9" s="60"/>
      <c r="M9" s="60"/>
      <c r="N9" s="60"/>
      <c r="O9" s="60"/>
      <c r="P9" s="60"/>
      <c r="Q9" s="60"/>
      <c r="R9" s="60"/>
      <c r="S9" s="60"/>
      <c r="T9" s="60"/>
      <c r="U9" s="60"/>
    </row>
    <row r="10" spans="1:25" x14ac:dyDescent="0.25">
      <c r="A10" s="45" t="s">
        <v>93</v>
      </c>
      <c r="B10" s="41" t="str">
        <f t="shared" si="0"/>
        <v>CAD_150_8_8loop</v>
      </c>
      <c r="C10" s="217">
        <f>500/1000</f>
        <v>0.5</v>
      </c>
      <c r="D10" s="56">
        <f>540/1000</f>
        <v>0.54</v>
      </c>
      <c r="F10" s="55" t="s">
        <v>85</v>
      </c>
      <c r="K10" s="59" t="s">
        <v>104</v>
      </c>
      <c r="L10" s="60"/>
      <c r="M10" s="60"/>
      <c r="N10" s="60"/>
      <c r="O10" s="60"/>
      <c r="P10" s="60"/>
      <c r="Q10" s="60"/>
      <c r="R10" s="60"/>
      <c r="S10" s="60"/>
      <c r="T10" s="60"/>
      <c r="U10" s="60"/>
    </row>
    <row r="11" spans="1:25" x14ac:dyDescent="0.25">
      <c r="A11" s="45" t="s">
        <v>94</v>
      </c>
      <c r="B11" s="41" t="str">
        <f t="shared" si="0"/>
        <v>CAD_150_8PLUS_4loop</v>
      </c>
      <c r="C11" s="217">
        <f>300/1000</f>
        <v>0.3</v>
      </c>
      <c r="D11" s="56">
        <f>340/1000</f>
        <v>0.34</v>
      </c>
      <c r="F11" s="49" t="s">
        <v>122</v>
      </c>
      <c r="K11" s="59" t="s">
        <v>105</v>
      </c>
      <c r="L11" s="49"/>
      <c r="M11" s="49"/>
      <c r="N11" s="60"/>
      <c r="O11" s="60"/>
      <c r="P11" s="60"/>
      <c r="Q11" s="60"/>
      <c r="R11" s="60"/>
      <c r="S11" s="60"/>
      <c r="T11" s="60"/>
      <c r="U11" s="60"/>
    </row>
    <row r="12" spans="1:25" x14ac:dyDescent="0.25">
      <c r="A12" s="45" t="s">
        <v>95</v>
      </c>
      <c r="B12" s="41" t="str">
        <f t="shared" si="0"/>
        <v>CAD_150_8PLUS_6loop</v>
      </c>
      <c r="C12" s="217">
        <f>400/1000</f>
        <v>0.4</v>
      </c>
      <c r="D12" s="56">
        <f>440/1000</f>
        <v>0.44</v>
      </c>
      <c r="F12" s="60">
        <v>0</v>
      </c>
      <c r="K12" s="59" t="s">
        <v>106</v>
      </c>
      <c r="L12" s="59"/>
      <c r="M12" s="59"/>
      <c r="N12" s="60"/>
      <c r="O12" s="60"/>
      <c r="P12" s="60"/>
      <c r="Q12" s="60"/>
      <c r="R12" s="60"/>
      <c r="S12" s="60"/>
      <c r="T12" s="60"/>
      <c r="U12" s="60"/>
    </row>
    <row r="13" spans="1:25" x14ac:dyDescent="0.25">
      <c r="A13" s="45" t="s">
        <v>96</v>
      </c>
      <c r="B13" s="41" t="str">
        <f t="shared" si="0"/>
        <v>CAD_150_8PLUS_8loop</v>
      </c>
      <c r="C13" s="217">
        <f>500/1000</f>
        <v>0.5</v>
      </c>
      <c r="D13" s="56">
        <f>540/1000</f>
        <v>0.54</v>
      </c>
      <c r="F13" s="60">
        <v>1</v>
      </c>
      <c r="K13" s="59" t="s">
        <v>107</v>
      </c>
      <c r="L13" s="59"/>
      <c r="M13" s="59"/>
      <c r="N13" s="60"/>
      <c r="O13" s="60"/>
      <c r="P13" s="60"/>
      <c r="Q13" s="60"/>
      <c r="R13" s="60"/>
      <c r="S13" s="60"/>
      <c r="T13" s="60"/>
      <c r="U13" s="60"/>
    </row>
    <row r="14" spans="1:25" x14ac:dyDescent="0.25">
      <c r="A14" s="216" t="s">
        <v>183</v>
      </c>
      <c r="B14" s="41" t="str">
        <f t="shared" si="0"/>
        <v>CAD_150_4_P</v>
      </c>
      <c r="C14" s="218">
        <f>C7+0.035</f>
        <v>0.33499999999999996</v>
      </c>
      <c r="D14" s="220">
        <f>D7+0.035</f>
        <v>0.375</v>
      </c>
      <c r="K14" s="59" t="s">
        <v>108</v>
      </c>
      <c r="L14" s="59"/>
      <c r="M14" s="59"/>
      <c r="N14" s="60"/>
      <c r="O14" s="60"/>
      <c r="P14" s="60"/>
      <c r="Q14" s="60"/>
      <c r="R14" s="60"/>
      <c r="S14" s="60"/>
      <c r="T14" s="60"/>
      <c r="U14" s="60"/>
    </row>
    <row r="15" spans="1:25" x14ac:dyDescent="0.25">
      <c r="A15" s="216" t="s">
        <v>184</v>
      </c>
      <c r="B15" s="41" t="str">
        <f t="shared" si="0"/>
        <v>CAD_150_8PLUS_P_4loop</v>
      </c>
      <c r="C15" s="218">
        <f>C11+0.035</f>
        <v>0.33499999999999996</v>
      </c>
      <c r="D15" s="220">
        <f>D11+0.035</f>
        <v>0.375</v>
      </c>
      <c r="F15" s="17" t="s">
        <v>169</v>
      </c>
      <c r="K15" s="59" t="s">
        <v>109</v>
      </c>
      <c r="L15" s="60"/>
      <c r="M15" s="60"/>
      <c r="N15" s="60"/>
      <c r="O15" s="60"/>
      <c r="P15" s="60"/>
      <c r="Q15" s="60"/>
      <c r="R15" s="60"/>
      <c r="S15" s="60"/>
      <c r="T15" s="60"/>
      <c r="U15" s="60"/>
    </row>
    <row r="16" spans="1:25" x14ac:dyDescent="0.25">
      <c r="A16" s="216" t="s">
        <v>185</v>
      </c>
      <c r="B16" s="41" t="str">
        <f t="shared" si="0"/>
        <v>CAD_150_8PLUS_P_6loop</v>
      </c>
      <c r="C16" s="218">
        <f>C12+0.035</f>
        <v>0.43500000000000005</v>
      </c>
      <c r="D16" s="220">
        <f t="shared" ref="D16" si="1">D12+0.035</f>
        <v>0.47499999999999998</v>
      </c>
      <c r="F16">
        <v>0.8</v>
      </c>
      <c r="K16" s="59" t="s">
        <v>187</v>
      </c>
      <c r="L16" s="11"/>
      <c r="M16" s="11"/>
      <c r="N16" s="11"/>
      <c r="O16" s="11"/>
      <c r="P16" s="11"/>
      <c r="Q16" s="11"/>
      <c r="R16" s="11"/>
      <c r="S16" s="11"/>
      <c r="T16" s="11"/>
      <c r="U16" s="11"/>
    </row>
    <row r="17" spans="1:21" x14ac:dyDescent="0.25">
      <c r="A17" s="221" t="s">
        <v>186</v>
      </c>
      <c r="B17" s="222" t="str">
        <f t="shared" si="0"/>
        <v>CAD_150_8PLUS_P_8loop</v>
      </c>
      <c r="C17" s="223">
        <f t="shared" ref="C17:D17" si="2">C13+0.035</f>
        <v>0.53500000000000003</v>
      </c>
      <c r="D17" s="224">
        <f t="shared" si="2"/>
        <v>0.57500000000000007</v>
      </c>
      <c r="F17">
        <v>1</v>
      </c>
      <c r="K17" s="59" t="s">
        <v>190</v>
      </c>
      <c r="L17" s="11"/>
      <c r="M17" s="11"/>
      <c r="N17" s="11"/>
      <c r="O17" s="11"/>
      <c r="P17" s="11"/>
      <c r="Q17" s="11"/>
      <c r="R17" s="11"/>
      <c r="S17" s="11"/>
      <c r="T17" s="11"/>
      <c r="U17" s="11"/>
    </row>
    <row r="18" spans="1:21" x14ac:dyDescent="0.25">
      <c r="A18" s="17"/>
      <c r="B18" s="17"/>
      <c r="F18">
        <v>1.5</v>
      </c>
      <c r="K18" s="59" t="s">
        <v>189</v>
      </c>
      <c r="L18" s="11"/>
      <c r="M18" s="11"/>
      <c r="N18" s="11"/>
      <c r="O18" s="11"/>
      <c r="P18" s="11"/>
      <c r="Q18" s="11"/>
      <c r="R18" s="11"/>
      <c r="S18" s="11"/>
      <c r="T18" s="11"/>
      <c r="U18" s="11"/>
    </row>
    <row r="19" spans="1:21" x14ac:dyDescent="0.25">
      <c r="C19" s="55" t="s">
        <v>80</v>
      </c>
      <c r="F19">
        <v>2</v>
      </c>
      <c r="K19" s="59" t="s">
        <v>188</v>
      </c>
      <c r="L19" s="11"/>
      <c r="M19" s="11"/>
    </row>
    <row r="20" spans="1:21" x14ac:dyDescent="0.25">
      <c r="A20" s="17"/>
      <c r="B20" s="17"/>
      <c r="C20" s="226" t="s">
        <v>81</v>
      </c>
      <c r="D20" s="226" t="s">
        <v>82</v>
      </c>
      <c r="F20">
        <v>2.5</v>
      </c>
      <c r="K20" s="44"/>
    </row>
    <row r="21" spans="1:21" x14ac:dyDescent="0.25">
      <c r="A21" s="14"/>
      <c r="B21" s="14"/>
      <c r="C21" s="227">
        <v>72</v>
      </c>
      <c r="D21" s="228">
        <v>30</v>
      </c>
      <c r="K21" s="35" t="s">
        <v>128</v>
      </c>
      <c r="L21" s="12"/>
      <c r="M21" s="12"/>
    </row>
    <row r="22" spans="1:21" x14ac:dyDescent="0.25">
      <c r="A22" s="14"/>
      <c r="B22" s="14"/>
      <c r="C22" s="229">
        <v>48</v>
      </c>
      <c r="D22" s="46">
        <v>15</v>
      </c>
      <c r="K22" s="41"/>
      <c r="L22" s="41"/>
      <c r="M22" s="41"/>
    </row>
    <row r="23" spans="1:21" x14ac:dyDescent="0.25">
      <c r="C23" s="51">
        <v>30</v>
      </c>
      <c r="D23" s="46">
        <v>5</v>
      </c>
      <c r="K23" s="59" t="s">
        <v>99</v>
      </c>
      <c r="L23" s="59"/>
      <c r="M23" s="59"/>
      <c r="N23" s="59"/>
    </row>
    <row r="24" spans="1:21" ht="13.8" thickBot="1" x14ac:dyDescent="0.3">
      <c r="C24" s="229">
        <v>24</v>
      </c>
      <c r="D24" s="46">
        <v>0</v>
      </c>
      <c r="F24" s="55" t="s">
        <v>170</v>
      </c>
      <c r="K24" s="59" t="s">
        <v>100</v>
      </c>
      <c r="L24" s="59" t="s">
        <v>50</v>
      </c>
      <c r="M24" s="59"/>
      <c r="N24" s="59"/>
    </row>
    <row r="25" spans="1:21" x14ac:dyDescent="0.25">
      <c r="C25" s="230">
        <v>4</v>
      </c>
      <c r="D25" s="48"/>
      <c r="F25" s="189">
        <v>120</v>
      </c>
      <c r="G25" s="190" t="s">
        <v>198</v>
      </c>
      <c r="H25" s="180"/>
      <c r="I25" s="181"/>
      <c r="K25" s="59" t="s">
        <v>101</v>
      </c>
      <c r="L25" s="59" t="s">
        <v>50</v>
      </c>
      <c r="M25" s="60"/>
      <c r="N25" s="60"/>
    </row>
    <row r="26" spans="1:21" x14ac:dyDescent="0.25">
      <c r="F26" s="191">
        <v>38</v>
      </c>
      <c r="G26" s="59" t="s">
        <v>199</v>
      </c>
      <c r="H26" s="41"/>
      <c r="I26" s="182"/>
      <c r="K26" s="59" t="s">
        <v>102</v>
      </c>
      <c r="L26" s="59" t="s">
        <v>50</v>
      </c>
      <c r="M26" s="60"/>
      <c r="N26" s="60"/>
    </row>
    <row r="27" spans="1:21" x14ac:dyDescent="0.25">
      <c r="F27" s="191">
        <v>17</v>
      </c>
      <c r="G27" s="59" t="s">
        <v>200</v>
      </c>
      <c r="H27" s="41"/>
      <c r="I27" s="182"/>
      <c r="K27" s="59" t="s">
        <v>103</v>
      </c>
      <c r="L27" s="59" t="s">
        <v>50</v>
      </c>
      <c r="M27" s="60"/>
      <c r="N27" s="60"/>
    </row>
    <row r="28" spans="1:21" x14ac:dyDescent="0.25">
      <c r="F28" s="183"/>
      <c r="G28" s="41"/>
      <c r="H28" s="41"/>
      <c r="I28" s="182"/>
      <c r="K28" s="59" t="s">
        <v>104</v>
      </c>
      <c r="L28" s="59" t="s">
        <v>50</v>
      </c>
      <c r="M28" s="59" t="s">
        <v>51</v>
      </c>
      <c r="N28" s="60"/>
    </row>
    <row r="29" spans="1:21" x14ac:dyDescent="0.25">
      <c r="F29" s="192">
        <f>'System Calculation'!A15</f>
        <v>0</v>
      </c>
      <c r="G29" s="186" t="e">
        <f>VLOOKUP(F29,Datos!B4:D13,2,0)</f>
        <v>#N/A</v>
      </c>
      <c r="H29" s="186" t="e">
        <f>VLOOKUP(F29,Datos!B4:D13,3,0)</f>
        <v>#N/A</v>
      </c>
      <c r="I29" s="182"/>
      <c r="K29" s="59" t="s">
        <v>105</v>
      </c>
      <c r="L29" s="59" t="s">
        <v>50</v>
      </c>
      <c r="M29" s="59" t="s">
        <v>51</v>
      </c>
      <c r="N29" s="60"/>
    </row>
    <row r="30" spans="1:21" ht="13.8" x14ac:dyDescent="0.3">
      <c r="F30" s="192">
        <f>'System Calculation'!A16</f>
        <v>0</v>
      </c>
      <c r="G30" s="178" t="e">
        <f>VLOOKUP(F30,Datos!F5:H7,2,0)</f>
        <v>#N/A</v>
      </c>
      <c r="H30" s="187" t="e">
        <f>VLOOKUP(F30,Datos!F5:H7,3,0)</f>
        <v>#N/A</v>
      </c>
      <c r="I30" s="182"/>
      <c r="K30" s="59" t="s">
        <v>106</v>
      </c>
      <c r="L30" s="59" t="s">
        <v>50</v>
      </c>
      <c r="M30" s="59" t="s">
        <v>51</v>
      </c>
      <c r="N30" s="60"/>
    </row>
    <row r="31" spans="1:21" x14ac:dyDescent="0.25">
      <c r="F31" s="183"/>
      <c r="G31" s="41"/>
      <c r="H31" s="41"/>
      <c r="I31" s="182"/>
      <c r="K31" s="59" t="s">
        <v>107</v>
      </c>
      <c r="L31" s="59" t="s">
        <v>50</v>
      </c>
      <c r="M31" s="59" t="s">
        <v>51</v>
      </c>
      <c r="N31" s="59" t="s">
        <v>52</v>
      </c>
    </row>
    <row r="32" spans="1:21" x14ac:dyDescent="0.25">
      <c r="F32" s="25" t="s">
        <v>127</v>
      </c>
      <c r="G32" s="41"/>
      <c r="H32" s="41" t="s">
        <v>171</v>
      </c>
      <c r="I32" s="182"/>
      <c r="K32" s="59" t="s">
        <v>108</v>
      </c>
      <c r="L32" s="59" t="s">
        <v>50</v>
      </c>
      <c r="M32" s="59" t="s">
        <v>51</v>
      </c>
      <c r="N32" s="59" t="s">
        <v>52</v>
      </c>
    </row>
    <row r="33" spans="1:21" ht="13.8" thickBot="1" x14ac:dyDescent="0.3">
      <c r="F33" s="193" t="e">
        <f>'System Calculation'!E22</f>
        <v>#N/A</v>
      </c>
      <c r="G33" s="41"/>
      <c r="H33" s="179" t="e">
        <f>F33-H30</f>
        <v>#N/A</v>
      </c>
      <c r="I33" s="182" t="e">
        <f>MATCH(H33,F25:F27,-1)</f>
        <v>#N/A</v>
      </c>
      <c r="K33" s="59" t="s">
        <v>109</v>
      </c>
      <c r="L33" s="59" t="s">
        <v>50</v>
      </c>
      <c r="M33" s="59" t="s">
        <v>51</v>
      </c>
      <c r="N33" s="59" t="s">
        <v>52</v>
      </c>
    </row>
    <row r="34" spans="1:21" ht="13.8" thickBot="1" x14ac:dyDescent="0.3">
      <c r="F34" s="184"/>
      <c r="G34" s="185"/>
      <c r="H34" s="188" t="s">
        <v>172</v>
      </c>
      <c r="I34" s="10" t="e">
        <f>INDEX(G25:G27,I33,1)</f>
        <v>#N/A</v>
      </c>
      <c r="K34" s="59" t="s">
        <v>187</v>
      </c>
      <c r="L34" s="74" t="s">
        <v>50</v>
      </c>
    </row>
    <row r="35" spans="1:21" x14ac:dyDescent="0.25">
      <c r="F35" s="17"/>
      <c r="G35" s="17"/>
      <c r="H35" s="17"/>
      <c r="I35" s="17"/>
      <c r="K35" s="59" t="s">
        <v>190</v>
      </c>
      <c r="L35" s="74" t="s">
        <v>50</v>
      </c>
      <c r="M35" t="s">
        <v>51</v>
      </c>
      <c r="N35" t="s">
        <v>52</v>
      </c>
    </row>
    <row r="36" spans="1:21" x14ac:dyDescent="0.25">
      <c r="K36" s="59" t="s">
        <v>189</v>
      </c>
      <c r="L36" s="74" t="s">
        <v>50</v>
      </c>
      <c r="M36" t="s">
        <v>51</v>
      </c>
      <c r="N36" t="s">
        <v>52</v>
      </c>
    </row>
    <row r="37" spans="1:21" x14ac:dyDescent="0.25">
      <c r="K37" s="59" t="s">
        <v>188</v>
      </c>
      <c r="L37" s="74" t="s">
        <v>50</v>
      </c>
      <c r="M37" t="s">
        <v>51</v>
      </c>
      <c r="N37" t="s">
        <v>52</v>
      </c>
    </row>
    <row r="40" spans="1:21" s="177" customFormat="1" x14ac:dyDescent="0.25">
      <c r="A40" s="58" t="s">
        <v>97</v>
      </c>
      <c r="J40"/>
      <c r="K40"/>
      <c r="L40"/>
      <c r="M40"/>
      <c r="N40"/>
      <c r="O40"/>
      <c r="P40"/>
      <c r="Q40"/>
      <c r="R40"/>
      <c r="S40"/>
      <c r="T40"/>
      <c r="U40"/>
    </row>
    <row r="41" spans="1:21" x14ac:dyDescent="0.25">
      <c r="J41" s="177"/>
    </row>
    <row r="43" spans="1:21" x14ac:dyDescent="0.25">
      <c r="K43" s="177"/>
      <c r="L43" s="177"/>
      <c r="M43" s="177"/>
      <c r="N43" s="177"/>
      <c r="O43" s="177"/>
      <c r="P43" s="177"/>
      <c r="Q43" s="177"/>
      <c r="R43" s="177"/>
      <c r="S43" s="177"/>
      <c r="T43" s="177"/>
      <c r="U43" s="177"/>
    </row>
  </sheetData>
  <sheetProtection selectLockedCells="1" selectUnlockedCells="1"/>
  <phoneticPr fontId="11" type="noConversion"/>
  <dataValidations disablePrompts="1" count="3">
    <dataValidation type="list" allowBlank="1" showInputMessage="1" showErrorMessage="1" sqref="M13" xr:uid="{030A2AAA-4593-4CBE-B4A0-73AD269FBA3E}">
      <formula1>Baterias1</formula1>
    </dataValidation>
    <dataValidation type="list" allowBlank="1" showInputMessage="1" showErrorMessage="1" prompt="If control panel is changed, select the batterie according to new panel" sqref="F29" xr:uid="{410E2CA0-3DD4-40E2-937B-30B47A0F962F}">
      <formula1>Centrales</formula1>
    </dataValidation>
    <dataValidation type="list" allowBlank="1" showInputMessage="1" showErrorMessage="1" prompt="If control panel is changed, select the batteries according to new panel" sqref="F30" xr:uid="{29D11690-E581-45EA-817B-CE0AF2A02F80}">
      <formula1>INDIRECT(#REF!)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1BC85-2AEA-41AA-B846-EB139684BDD8}">
  <sheetPr codeName="Hoja3">
    <pageSetUpPr fitToPage="1"/>
  </sheetPr>
  <dimension ref="A1:N97"/>
  <sheetViews>
    <sheetView zoomScale="120" zoomScaleNormal="120" workbookViewId="0">
      <pane xSplit="12" ySplit="14" topLeftCell="M15" activePane="bottomRight" state="frozen"/>
      <selection activeCell="A64" sqref="A64"/>
      <selection pane="topRight" activeCell="A64" sqref="A64"/>
      <selection pane="bottomLeft" activeCell="A64" sqref="A64"/>
      <selection pane="bottomRight" activeCell="H12" sqref="H12"/>
    </sheetView>
  </sheetViews>
  <sheetFormatPr baseColWidth="10" defaultRowHeight="13.2" x14ac:dyDescent="0.25"/>
  <cols>
    <col min="1" max="1" width="35.109375" customWidth="1"/>
    <col min="2" max="2" width="10.6640625" customWidth="1"/>
    <col min="3" max="3" width="11.109375" hidden="1" customWidth="1"/>
    <col min="4" max="4" width="12.77734375" bestFit="1" customWidth="1"/>
    <col min="5" max="6" width="10.6640625" hidden="1" customWidth="1"/>
    <col min="7" max="7" width="10.5546875" bestFit="1" customWidth="1"/>
    <col min="8" max="8" width="10.6640625" customWidth="1"/>
    <col min="9" max="9" width="5.5546875" bestFit="1" customWidth="1"/>
    <col min="10" max="10" width="7" customWidth="1"/>
    <col min="11" max="11" width="6.44140625" customWidth="1"/>
    <col min="12" max="12" width="6.5546875" customWidth="1"/>
    <col min="14" max="16" width="11.5546875" customWidth="1"/>
  </cols>
  <sheetData>
    <row r="1" spans="1:14" x14ac:dyDescent="0.25">
      <c r="H1" s="1"/>
      <c r="I1" s="2"/>
      <c r="J1" s="2"/>
      <c r="K1" s="2"/>
    </row>
    <row r="2" spans="1:14" x14ac:dyDescent="0.25">
      <c r="H2" s="1"/>
      <c r="I2" s="2"/>
      <c r="J2" s="2"/>
      <c r="K2" s="2"/>
    </row>
    <row r="3" spans="1:14" ht="14.4" x14ac:dyDescent="0.3">
      <c r="A3" s="3"/>
      <c r="H3" s="1"/>
      <c r="I3" s="2"/>
      <c r="J3" s="2"/>
      <c r="K3" s="2"/>
    </row>
    <row r="4" spans="1:14" ht="14.4" x14ac:dyDescent="0.3">
      <c r="A4" s="3"/>
      <c r="H4" s="1"/>
      <c r="I4" s="2"/>
      <c r="J4" s="2"/>
      <c r="K4" s="2"/>
    </row>
    <row r="5" spans="1:14" s="7" customFormat="1" ht="13.8" thickBot="1" x14ac:dyDescent="0.3">
      <c r="A5" s="4" t="str">
        <f>'System Calculation'!A7</f>
        <v>SYSTEM CALCULATOR DETNOV CAD-150 EXCEL TOOL</v>
      </c>
      <c r="B5" s="4"/>
      <c r="C5" s="4"/>
      <c r="D5" s="4"/>
      <c r="E5" s="4"/>
      <c r="F5" s="4"/>
      <c r="G5" s="4"/>
      <c r="H5" s="6"/>
      <c r="I5" s="5"/>
      <c r="J5" s="5"/>
      <c r="K5" s="5"/>
      <c r="L5" s="16" t="str">
        <f>'System Calculation'!J7</f>
        <v>SC 116 en 2019 f</v>
      </c>
    </row>
    <row r="6" spans="1:14" s="7" customFormat="1" ht="13.8" thickBot="1" x14ac:dyDescent="0.3">
      <c r="B6" s="29"/>
      <c r="C6" s="29"/>
      <c r="D6" s="29"/>
      <c r="E6" s="29"/>
      <c r="F6" s="29"/>
      <c r="G6" s="29"/>
      <c r="H6" s="36"/>
      <c r="I6" s="37"/>
      <c r="J6" s="37"/>
      <c r="K6" s="37"/>
      <c r="L6" s="38"/>
    </row>
    <row r="7" spans="1:14" s="7" customFormat="1" ht="13.8" thickBot="1" x14ac:dyDescent="0.3">
      <c r="A7" s="19" t="s">
        <v>62</v>
      </c>
      <c r="B7" s="115"/>
      <c r="C7" s="115"/>
      <c r="D7" s="116"/>
      <c r="E7" s="29"/>
      <c r="F7" s="29"/>
      <c r="G7" s="29"/>
      <c r="H7" s="36"/>
      <c r="J7" s="239" t="s">
        <v>134</v>
      </c>
      <c r="K7" s="243"/>
      <c r="L7" s="135"/>
      <c r="M7" s="38"/>
    </row>
    <row r="8" spans="1:14" s="7" customFormat="1" ht="13.8" thickBot="1" x14ac:dyDescent="0.3">
      <c r="A8" s="111" t="s">
        <v>129</v>
      </c>
      <c r="B8" s="117">
        <v>1.5</v>
      </c>
      <c r="C8" s="113"/>
      <c r="D8" s="114" t="s">
        <v>131</v>
      </c>
      <c r="E8" s="29"/>
      <c r="F8" s="29"/>
      <c r="G8" s="244" t="str">
        <f>IF(B9&gt;3500,"Error: The Maximum Lenght in the Line is 3500 m","")</f>
        <v/>
      </c>
      <c r="H8" s="244"/>
      <c r="I8" s="245"/>
      <c r="J8" s="239" t="s">
        <v>135</v>
      </c>
      <c r="K8" s="240"/>
      <c r="L8" s="159" t="str">
        <f>IF($B$71&gt;0.4,"FAIL",IF($B$91&gt;=$B$71,"OK","FAIL"))</f>
        <v>OK</v>
      </c>
      <c r="N8" s="150" t="str">
        <f>IF($B$71&gt;0.4,"Error: The Loop Current is upper that Maximum Current allowed",IF($B$91&lt;$B$71,"Error: The Loop Current is upper that Maximum Current allowed",""))</f>
        <v/>
      </c>
    </row>
    <row r="9" spans="1:14" s="7" customFormat="1" ht="13.8" thickBot="1" x14ac:dyDescent="0.3">
      <c r="A9" s="26" t="s">
        <v>130</v>
      </c>
      <c r="B9" s="118">
        <v>2000</v>
      </c>
      <c r="C9" s="110"/>
      <c r="D9" s="34" t="s">
        <v>132</v>
      </c>
      <c r="E9" s="29"/>
      <c r="F9" s="29"/>
      <c r="G9" s="244"/>
      <c r="H9" s="244"/>
      <c r="I9" s="245"/>
      <c r="J9" s="241" t="s">
        <v>136</v>
      </c>
      <c r="K9" s="242"/>
      <c r="L9" s="157" t="str">
        <f>IF($L$63&lt;=250,"OK","FAIL")</f>
        <v>OK</v>
      </c>
      <c r="N9" s="150" t="str">
        <f>IF($L$63&gt;250,"Error: The Loop cannot contain more than 250 addresses","")</f>
        <v/>
      </c>
    </row>
    <row r="10" spans="1:14" s="7" customFormat="1" x14ac:dyDescent="0.25">
      <c r="A10" s="149" t="s">
        <v>150</v>
      </c>
      <c r="B10" s="29"/>
      <c r="C10" s="29"/>
      <c r="D10" s="29"/>
      <c r="E10" s="29"/>
      <c r="F10" s="29"/>
      <c r="G10" s="29"/>
      <c r="H10" s="36"/>
      <c r="I10" s="37"/>
      <c r="J10" s="37"/>
      <c r="K10" s="37"/>
      <c r="L10" s="38"/>
    </row>
    <row r="11" spans="1:14" s="7" customFormat="1" x14ac:dyDescent="0.25">
      <c r="A11" s="149"/>
      <c r="B11" s="29"/>
      <c r="C11" s="29"/>
      <c r="D11" s="29"/>
      <c r="E11" s="29"/>
      <c r="F11" s="29"/>
      <c r="G11" s="29"/>
      <c r="H11" s="36"/>
      <c r="I11" s="37"/>
      <c r="J11" s="37"/>
      <c r="K11" s="37"/>
      <c r="L11" s="38"/>
    </row>
    <row r="12" spans="1:14" ht="13.8" thickBot="1" x14ac:dyDescent="0.3">
      <c r="B12" s="40" t="s">
        <v>10</v>
      </c>
      <c r="C12" s="15" t="s">
        <v>10</v>
      </c>
    </row>
    <row r="13" spans="1:14" ht="13.8" thickBot="1" x14ac:dyDescent="0.3">
      <c r="A13" s="8" t="s">
        <v>61</v>
      </c>
      <c r="B13" s="9"/>
      <c r="C13" s="9"/>
      <c r="D13" s="9"/>
      <c r="E13" s="9"/>
      <c r="F13" s="9"/>
      <c r="G13" s="9"/>
      <c r="H13" s="147"/>
      <c r="I13" s="147"/>
      <c r="J13" s="147"/>
      <c r="K13" s="147"/>
      <c r="L13" s="148"/>
    </row>
    <row r="14" spans="1:14" s="7" customFormat="1" ht="13.8" thickBot="1" x14ac:dyDescent="0.3">
      <c r="A14" s="143" t="s">
        <v>0</v>
      </c>
      <c r="B14" s="144" t="s">
        <v>1</v>
      </c>
      <c r="C14" s="144" t="s">
        <v>38</v>
      </c>
      <c r="D14" s="144" t="s">
        <v>38</v>
      </c>
      <c r="E14" s="144" t="s">
        <v>110</v>
      </c>
      <c r="F14" s="144" t="s">
        <v>39</v>
      </c>
      <c r="G14" s="144" t="s">
        <v>39</v>
      </c>
      <c r="H14" s="145" t="s">
        <v>133</v>
      </c>
      <c r="I14" s="145" t="s">
        <v>146</v>
      </c>
      <c r="J14" s="145" t="s">
        <v>147</v>
      </c>
      <c r="K14" s="145" t="s">
        <v>148</v>
      </c>
      <c r="L14" s="146" t="s">
        <v>149</v>
      </c>
    </row>
    <row r="15" spans="1:14" x14ac:dyDescent="0.25">
      <c r="A15" s="132" t="s">
        <v>2</v>
      </c>
      <c r="B15" s="112"/>
      <c r="C15" s="198">
        <v>2.9999999999999997E-4</v>
      </c>
      <c r="D15" s="133">
        <f>B15*C15</f>
        <v>0</v>
      </c>
      <c r="E15" s="234">
        <f>IF(B15&gt;10,10,B15)</f>
        <v>0</v>
      </c>
      <c r="F15" s="198">
        <v>3.0000000000000001E-3</v>
      </c>
      <c r="G15" s="133">
        <f>E15*F15</f>
        <v>0</v>
      </c>
      <c r="H15" s="52"/>
      <c r="I15" s="52" t="str">
        <f t="shared" ref="I15:I22" si="0">IF(B15&lt;&gt;0,B15," ")</f>
        <v xml:space="preserve"> </v>
      </c>
      <c r="J15" s="52"/>
      <c r="K15" s="52"/>
      <c r="L15" s="134" t="str">
        <f>IF(I15&lt;&gt;0,I15," ")</f>
        <v xml:space="preserve"> </v>
      </c>
    </row>
    <row r="16" spans="1:14" x14ac:dyDescent="0.25">
      <c r="A16" s="22" t="s">
        <v>15</v>
      </c>
      <c r="B16" s="23"/>
      <c r="C16" s="24">
        <v>2.9999999999999997E-4</v>
      </c>
      <c r="D16" s="68">
        <f>B16*C16</f>
        <v>0</v>
      </c>
      <c r="E16" s="234">
        <f t="shared" ref="E16:E22" si="1">IF(B16&gt;10,10,B16)</f>
        <v>0</v>
      </c>
      <c r="F16" s="24">
        <v>3.0000000000000001E-3</v>
      </c>
      <c r="G16" s="68">
        <f>E16*F16</f>
        <v>0</v>
      </c>
      <c r="H16" s="60"/>
      <c r="I16" s="60" t="str">
        <f t="shared" si="0"/>
        <v xml:space="preserve"> </v>
      </c>
      <c r="J16" s="60"/>
      <c r="K16" s="60"/>
      <c r="L16" s="123" t="str">
        <f t="shared" ref="L16:L22" si="2">IF(I16&lt;&gt;0,I16," ")</f>
        <v xml:space="preserve"> </v>
      </c>
    </row>
    <row r="17" spans="1:12" x14ac:dyDescent="0.25">
      <c r="A17" s="22" t="s">
        <v>3</v>
      </c>
      <c r="B17" s="23"/>
      <c r="C17" s="24">
        <v>2.9999999999999997E-4</v>
      </c>
      <c r="D17" s="68">
        <f t="shared" ref="D17:D62" si="3">B17*C17</f>
        <v>0</v>
      </c>
      <c r="E17" s="234">
        <f t="shared" si="1"/>
        <v>0</v>
      </c>
      <c r="F17" s="24">
        <v>3.0000000000000001E-3</v>
      </c>
      <c r="G17" s="68">
        <f t="shared" ref="G17:G62" si="4">E17*F17</f>
        <v>0</v>
      </c>
      <c r="H17" s="60"/>
      <c r="I17" s="60" t="str">
        <f t="shared" si="0"/>
        <v xml:space="preserve"> </v>
      </c>
      <c r="J17" s="60"/>
      <c r="K17" s="60"/>
      <c r="L17" s="123" t="str">
        <f t="shared" si="2"/>
        <v xml:space="preserve"> </v>
      </c>
    </row>
    <row r="18" spans="1:12" x14ac:dyDescent="0.25">
      <c r="A18" s="22" t="s">
        <v>16</v>
      </c>
      <c r="B18" s="23"/>
      <c r="C18" s="24">
        <v>2.9999999999999997E-4</v>
      </c>
      <c r="D18" s="68">
        <f t="shared" si="3"/>
        <v>0</v>
      </c>
      <c r="E18" s="234">
        <f t="shared" si="1"/>
        <v>0</v>
      </c>
      <c r="F18" s="24">
        <v>3.0000000000000001E-3</v>
      </c>
      <c r="G18" s="68">
        <f t="shared" si="4"/>
        <v>0</v>
      </c>
      <c r="H18" s="60"/>
      <c r="I18" s="60" t="str">
        <f t="shared" si="0"/>
        <v xml:space="preserve"> </v>
      </c>
      <c r="J18" s="60"/>
      <c r="K18" s="60"/>
      <c r="L18" s="123" t="str">
        <f t="shared" si="2"/>
        <v xml:space="preserve"> </v>
      </c>
    </row>
    <row r="19" spans="1:12" x14ac:dyDescent="0.25">
      <c r="A19" s="22" t="s">
        <v>4</v>
      </c>
      <c r="B19" s="23"/>
      <c r="C19" s="24">
        <v>2.9999999999999997E-4</v>
      </c>
      <c r="D19" s="68">
        <f t="shared" si="3"/>
        <v>0</v>
      </c>
      <c r="E19" s="234">
        <f t="shared" si="1"/>
        <v>0</v>
      </c>
      <c r="F19" s="24">
        <v>3.0000000000000001E-3</v>
      </c>
      <c r="G19" s="68">
        <f t="shared" si="4"/>
        <v>0</v>
      </c>
      <c r="H19" s="60"/>
      <c r="I19" s="60" t="str">
        <f t="shared" si="0"/>
        <v xml:space="preserve"> </v>
      </c>
      <c r="J19" s="60"/>
      <c r="K19" s="60"/>
      <c r="L19" s="123" t="str">
        <f t="shared" si="2"/>
        <v xml:space="preserve"> </v>
      </c>
    </row>
    <row r="20" spans="1:12" x14ac:dyDescent="0.25">
      <c r="A20" s="22" t="s">
        <v>17</v>
      </c>
      <c r="B20" s="23"/>
      <c r="C20" s="24">
        <v>2.9999999999999997E-4</v>
      </c>
      <c r="D20" s="68">
        <f t="shared" si="3"/>
        <v>0</v>
      </c>
      <c r="E20" s="234">
        <f t="shared" si="1"/>
        <v>0</v>
      </c>
      <c r="F20" s="24">
        <v>3.0000000000000001E-3</v>
      </c>
      <c r="G20" s="68">
        <f t="shared" si="4"/>
        <v>0</v>
      </c>
      <c r="H20" s="60"/>
      <c r="I20" s="60" t="str">
        <f t="shared" si="0"/>
        <v xml:space="preserve"> </v>
      </c>
      <c r="J20" s="60"/>
      <c r="K20" s="60"/>
      <c r="L20" s="123" t="str">
        <f t="shared" si="2"/>
        <v xml:space="preserve"> </v>
      </c>
    </row>
    <row r="21" spans="1:12" x14ac:dyDescent="0.25">
      <c r="A21" s="22" t="s">
        <v>5</v>
      </c>
      <c r="B21" s="23"/>
      <c r="C21" s="24">
        <v>2.9999999999999997E-4</v>
      </c>
      <c r="D21" s="68">
        <f t="shared" si="3"/>
        <v>0</v>
      </c>
      <c r="E21" s="234">
        <f t="shared" si="1"/>
        <v>0</v>
      </c>
      <c r="F21" s="24">
        <v>3.0000000000000001E-3</v>
      </c>
      <c r="G21" s="68">
        <f t="shared" si="4"/>
        <v>0</v>
      </c>
      <c r="H21" s="60"/>
      <c r="I21" s="60" t="str">
        <f t="shared" si="0"/>
        <v xml:space="preserve"> </v>
      </c>
      <c r="J21" s="60"/>
      <c r="K21" s="60"/>
      <c r="L21" s="123" t="str">
        <f t="shared" si="2"/>
        <v xml:space="preserve"> </v>
      </c>
    </row>
    <row r="22" spans="1:12" x14ac:dyDescent="0.25">
      <c r="A22" s="22" t="s">
        <v>18</v>
      </c>
      <c r="B22" s="23"/>
      <c r="C22" s="24">
        <v>2.9999999999999997E-4</v>
      </c>
      <c r="D22" s="68">
        <f t="shared" si="3"/>
        <v>0</v>
      </c>
      <c r="E22" s="234">
        <f t="shared" si="1"/>
        <v>0</v>
      </c>
      <c r="F22" s="24">
        <v>3.0000000000000001E-3</v>
      </c>
      <c r="G22" s="68">
        <f t="shared" si="4"/>
        <v>0</v>
      </c>
      <c r="H22" s="60"/>
      <c r="I22" s="60" t="str">
        <f t="shared" si="0"/>
        <v xml:space="preserve"> </v>
      </c>
      <c r="J22" s="60"/>
      <c r="K22" s="60"/>
      <c r="L22" s="123" t="str">
        <f t="shared" si="2"/>
        <v xml:space="preserve"> </v>
      </c>
    </row>
    <row r="23" spans="1:12" x14ac:dyDescent="0.25">
      <c r="A23" s="22" t="s">
        <v>192</v>
      </c>
      <c r="B23" s="23"/>
      <c r="C23" s="24">
        <v>9.1E-4</v>
      </c>
      <c r="D23" s="68">
        <f t="shared" si="3"/>
        <v>0</v>
      </c>
      <c r="E23" s="234">
        <f>IF(B23&gt;10,10,B23)</f>
        <v>0</v>
      </c>
      <c r="F23" s="24">
        <f>0.0011</f>
        <v>1.1000000000000001E-3</v>
      </c>
      <c r="G23" s="68">
        <f t="shared" si="4"/>
        <v>0</v>
      </c>
      <c r="H23" s="60"/>
      <c r="I23" s="60" t="str">
        <f t="shared" ref="I23:I26" si="5">IF(B23&lt;&gt;0,B23," ")</f>
        <v xml:space="preserve"> </v>
      </c>
      <c r="J23" s="60"/>
      <c r="K23" s="60"/>
      <c r="L23" s="123" t="str">
        <f t="shared" ref="L23:L26" si="6">IF(I23&lt;&gt;0,I23," ")</f>
        <v xml:space="preserve"> </v>
      </c>
    </row>
    <row r="24" spans="1:12" x14ac:dyDescent="0.25">
      <c r="A24" s="22" t="s">
        <v>193</v>
      </c>
      <c r="B24" s="23"/>
      <c r="C24" s="24">
        <v>9.1E-4</v>
      </c>
      <c r="D24" s="68">
        <f t="shared" si="3"/>
        <v>0</v>
      </c>
      <c r="E24" s="234">
        <f t="shared" ref="E24:E26" si="7">IF(B24&gt;10,10,B24)</f>
        <v>0</v>
      </c>
      <c r="F24" s="24">
        <f t="shared" ref="F24:F26" si="8">0.0011</f>
        <v>1.1000000000000001E-3</v>
      </c>
      <c r="G24" s="68">
        <f t="shared" si="4"/>
        <v>0</v>
      </c>
      <c r="H24" s="60"/>
      <c r="I24" s="60" t="str">
        <f t="shared" si="5"/>
        <v xml:space="preserve"> </v>
      </c>
      <c r="J24" s="60"/>
      <c r="K24" s="60"/>
      <c r="L24" s="123" t="str">
        <f t="shared" si="6"/>
        <v xml:space="preserve"> </v>
      </c>
    </row>
    <row r="25" spans="1:12" x14ac:dyDescent="0.25">
      <c r="A25" s="22" t="s">
        <v>194</v>
      </c>
      <c r="B25" s="23"/>
      <c r="C25" s="24">
        <v>9.1E-4</v>
      </c>
      <c r="D25" s="68">
        <f t="shared" si="3"/>
        <v>0</v>
      </c>
      <c r="E25" s="234">
        <f t="shared" si="7"/>
        <v>0</v>
      </c>
      <c r="F25" s="24">
        <f t="shared" si="8"/>
        <v>1.1000000000000001E-3</v>
      </c>
      <c r="G25" s="68">
        <f t="shared" si="4"/>
        <v>0</v>
      </c>
      <c r="H25" s="60"/>
      <c r="I25" s="60" t="str">
        <f t="shared" si="5"/>
        <v xml:space="preserve"> </v>
      </c>
      <c r="J25" s="60"/>
      <c r="K25" s="60"/>
      <c r="L25" s="123" t="str">
        <f t="shared" si="6"/>
        <v xml:space="preserve"> </v>
      </c>
    </row>
    <row r="26" spans="1:12" x14ac:dyDescent="0.25">
      <c r="A26" s="22" t="s">
        <v>195</v>
      </c>
      <c r="B26" s="23"/>
      <c r="C26" s="24">
        <v>9.1E-4</v>
      </c>
      <c r="D26" s="68">
        <f t="shared" si="3"/>
        <v>0</v>
      </c>
      <c r="E26" s="234">
        <f t="shared" si="7"/>
        <v>0</v>
      </c>
      <c r="F26" s="24">
        <f t="shared" si="8"/>
        <v>1.1000000000000001E-3</v>
      </c>
      <c r="G26" s="68">
        <f t="shared" si="4"/>
        <v>0</v>
      </c>
      <c r="H26" s="60"/>
      <c r="I26" s="60" t="str">
        <f t="shared" si="5"/>
        <v xml:space="preserve"> </v>
      </c>
      <c r="J26" s="60"/>
      <c r="K26" s="60"/>
      <c r="L26" s="123" t="str">
        <f t="shared" si="6"/>
        <v xml:space="preserve"> </v>
      </c>
    </row>
    <row r="27" spans="1:12" x14ac:dyDescent="0.25">
      <c r="A27" s="25" t="s">
        <v>20</v>
      </c>
      <c r="B27" s="23"/>
      <c r="C27" s="24">
        <v>2.9999999999999997E-4</v>
      </c>
      <c r="D27" s="68">
        <f t="shared" si="3"/>
        <v>0</v>
      </c>
      <c r="E27" s="233">
        <f>B27*'System Calculation'!$I$14</f>
        <v>0</v>
      </c>
      <c r="F27" s="24">
        <v>3.0000000000000001E-3</v>
      </c>
      <c r="G27" s="68">
        <f t="shared" si="4"/>
        <v>0</v>
      </c>
      <c r="H27" s="60"/>
      <c r="I27" s="60"/>
      <c r="J27" s="60" t="str">
        <f>IF(B27&lt;&gt;0,B27," ")</f>
        <v xml:space="preserve"> </v>
      </c>
      <c r="K27" s="60"/>
      <c r="L27" s="123" t="str">
        <f>IF(J27&lt;&gt;0,J27," ")</f>
        <v xml:space="preserve"> </v>
      </c>
    </row>
    <row r="28" spans="1:12" x14ac:dyDescent="0.25">
      <c r="A28" s="25" t="s">
        <v>21</v>
      </c>
      <c r="B28" s="23"/>
      <c r="C28" s="24">
        <v>2.9999999999999997E-4</v>
      </c>
      <c r="D28" s="68">
        <f t="shared" si="3"/>
        <v>0</v>
      </c>
      <c r="E28" s="233">
        <f>B28*'System Calculation'!$I$14</f>
        <v>0</v>
      </c>
      <c r="F28" s="24">
        <v>3.0000000000000001E-3</v>
      </c>
      <c r="G28" s="68">
        <f t="shared" si="4"/>
        <v>0</v>
      </c>
      <c r="H28" s="60"/>
      <c r="I28" s="60"/>
      <c r="J28" s="60">
        <f>IF(B28&lt;&gt;0,B28,0)</f>
        <v>0</v>
      </c>
      <c r="K28" s="60"/>
      <c r="L28" s="123" t="str">
        <f>IF(J28&lt;&gt;0,2*J28," ")</f>
        <v xml:space="preserve"> </v>
      </c>
    </row>
    <row r="29" spans="1:12" x14ac:dyDescent="0.25">
      <c r="A29" s="25" t="s">
        <v>31</v>
      </c>
      <c r="B29" s="23"/>
      <c r="C29" s="24">
        <v>2.9999999999999997E-4</v>
      </c>
      <c r="D29" s="68">
        <f t="shared" si="3"/>
        <v>0</v>
      </c>
      <c r="E29" s="233">
        <f>B29*'System Calculation'!$I$14</f>
        <v>0</v>
      </c>
      <c r="F29" s="24">
        <v>3.0000000000000001E-3</v>
      </c>
      <c r="G29" s="68">
        <f t="shared" si="4"/>
        <v>0</v>
      </c>
      <c r="H29" s="60"/>
      <c r="I29" s="60"/>
      <c r="J29" s="60">
        <f>IF(B29&lt;&gt;0,B29,0)</f>
        <v>0</v>
      </c>
      <c r="K29" s="60"/>
      <c r="L29" s="123" t="str">
        <f>IF(J29&lt;&gt;0,5*J29," ")</f>
        <v xml:space="preserve"> </v>
      </c>
    </row>
    <row r="30" spans="1:12" x14ac:dyDescent="0.25">
      <c r="A30" s="25" t="s">
        <v>32</v>
      </c>
      <c r="B30" s="23"/>
      <c r="C30" s="24">
        <v>2.9999999999999997E-4</v>
      </c>
      <c r="D30" s="68">
        <f t="shared" si="3"/>
        <v>0</v>
      </c>
      <c r="E30" s="233">
        <f>B30*'System Calculation'!$I$14</f>
        <v>0</v>
      </c>
      <c r="F30" s="24">
        <v>3.0000000000000001E-3</v>
      </c>
      <c r="G30" s="68">
        <f t="shared" si="4"/>
        <v>0</v>
      </c>
      <c r="H30" s="60"/>
      <c r="I30" s="60"/>
      <c r="J30" s="60">
        <f>IF(B30&lt;&gt;0,B30,0)</f>
        <v>0</v>
      </c>
      <c r="K30" s="60"/>
      <c r="L30" s="123" t="str">
        <f>IF(J30&lt;&gt;0,10*J30," ")</f>
        <v xml:space="preserve"> </v>
      </c>
    </row>
    <row r="31" spans="1:12" x14ac:dyDescent="0.25">
      <c r="A31" s="25" t="s">
        <v>22</v>
      </c>
      <c r="B31" s="23"/>
      <c r="C31" s="24">
        <v>2.9999999999999997E-4</v>
      </c>
      <c r="D31" s="68">
        <f t="shared" si="3"/>
        <v>0</v>
      </c>
      <c r="E31" s="233">
        <f>B31*'System Calculation'!$I$14</f>
        <v>0</v>
      </c>
      <c r="F31" s="24">
        <v>3.0000000000000001E-3</v>
      </c>
      <c r="G31" s="68">
        <f t="shared" si="4"/>
        <v>0</v>
      </c>
      <c r="H31" s="60"/>
      <c r="I31" s="60"/>
      <c r="J31" s="60" t="str">
        <f>IF(B31&lt;&gt;0,B31," ")</f>
        <v xml:space="preserve"> </v>
      </c>
      <c r="K31" s="60"/>
      <c r="L31" s="123" t="str">
        <f>IF(J31&lt;&gt;0,J31," ")</f>
        <v xml:space="preserve"> </v>
      </c>
    </row>
    <row r="32" spans="1:12" x14ac:dyDescent="0.25">
      <c r="A32" s="25" t="s">
        <v>23</v>
      </c>
      <c r="B32" s="23"/>
      <c r="C32" s="24">
        <v>2.9999999999999997E-4</v>
      </c>
      <c r="D32" s="68">
        <f t="shared" si="3"/>
        <v>0</v>
      </c>
      <c r="E32" s="233">
        <f>B32*'System Calculation'!$I$14</f>
        <v>0</v>
      </c>
      <c r="F32" s="24">
        <v>3.0000000000000001E-3</v>
      </c>
      <c r="G32" s="68">
        <f t="shared" si="4"/>
        <v>0</v>
      </c>
      <c r="H32" s="60"/>
      <c r="I32" s="60"/>
      <c r="J32" s="60">
        <f t="shared" ref="J32:J38" si="9">IF(B32&lt;&gt;0,B32,0)</f>
        <v>0</v>
      </c>
      <c r="K32" s="60"/>
      <c r="L32" s="123" t="str">
        <f>IF(J32&lt;&gt;0,2*J32," ")</f>
        <v xml:space="preserve"> </v>
      </c>
    </row>
    <row r="33" spans="1:14" x14ac:dyDescent="0.25">
      <c r="A33" s="25" t="s">
        <v>33</v>
      </c>
      <c r="B33" s="23"/>
      <c r="C33" s="24">
        <v>2.9999999999999997E-4</v>
      </c>
      <c r="D33" s="68">
        <f t="shared" si="3"/>
        <v>0</v>
      </c>
      <c r="E33" s="233">
        <f>B33*'System Calculation'!$I$14</f>
        <v>0</v>
      </c>
      <c r="F33" s="24">
        <v>3.0000000000000001E-3</v>
      </c>
      <c r="G33" s="68">
        <f t="shared" si="4"/>
        <v>0</v>
      </c>
      <c r="H33" s="60"/>
      <c r="I33" s="60"/>
      <c r="J33" s="60">
        <f t="shared" si="9"/>
        <v>0</v>
      </c>
      <c r="K33" s="60"/>
      <c r="L33" s="123" t="str">
        <f>IF(J33&lt;&gt;0,5*J33," ")</f>
        <v xml:space="preserve"> </v>
      </c>
      <c r="N33" s="195" t="str">
        <f>IF(AND(B33&gt;0),"Info: External 24V needed. Control Panel could provide from 24Vaux, if 500mA maximum current isn't exceeded."," ")</f>
        <v xml:space="preserve"> </v>
      </c>
    </row>
    <row r="34" spans="1:14" x14ac:dyDescent="0.25">
      <c r="A34" s="25" t="s">
        <v>34</v>
      </c>
      <c r="B34" s="23"/>
      <c r="C34" s="24">
        <v>2.9999999999999997E-4</v>
      </c>
      <c r="D34" s="68">
        <f t="shared" si="3"/>
        <v>0</v>
      </c>
      <c r="E34" s="233">
        <f>B34*'System Calculation'!$I$14</f>
        <v>0</v>
      </c>
      <c r="F34" s="24">
        <v>3.0000000000000001E-3</v>
      </c>
      <c r="G34" s="68">
        <f t="shared" si="4"/>
        <v>0</v>
      </c>
      <c r="H34" s="60"/>
      <c r="I34" s="60"/>
      <c r="J34" s="60">
        <f t="shared" si="9"/>
        <v>0</v>
      </c>
      <c r="K34" s="60"/>
      <c r="L34" s="123" t="str">
        <f>IF(J34&lt;&gt;0,10*J34," ")</f>
        <v xml:space="preserve"> </v>
      </c>
      <c r="N34" s="41" t="str">
        <f>IF(AND(B34&gt;0),"Info: External 24V needed. Control Panel could provide from 24Vaux, if 500mA maximum current isn't exceeded."," ")</f>
        <v xml:space="preserve"> </v>
      </c>
    </row>
    <row r="35" spans="1:14" x14ac:dyDescent="0.25">
      <c r="A35" s="25" t="s">
        <v>24</v>
      </c>
      <c r="B35" s="23"/>
      <c r="C35" s="24">
        <v>2.9999999999999997E-4</v>
      </c>
      <c r="D35" s="68">
        <f t="shared" si="3"/>
        <v>0</v>
      </c>
      <c r="E35" s="233">
        <f>B35*'System Calculation'!$I$14</f>
        <v>0</v>
      </c>
      <c r="F35" s="24">
        <v>3.0000000000000001E-3</v>
      </c>
      <c r="G35" s="68">
        <f t="shared" si="4"/>
        <v>0</v>
      </c>
      <c r="H35" s="60"/>
      <c r="I35" s="60"/>
      <c r="J35" s="60">
        <f t="shared" si="9"/>
        <v>0</v>
      </c>
      <c r="K35" s="60"/>
      <c r="L35" s="123" t="str">
        <f>IF(J35&lt;&gt;0,2*J35," ")</f>
        <v xml:space="preserve"> </v>
      </c>
      <c r="N35" s="41"/>
    </row>
    <row r="36" spans="1:14" x14ac:dyDescent="0.25">
      <c r="A36" s="25" t="s">
        <v>25</v>
      </c>
      <c r="B36" s="23"/>
      <c r="C36" s="24">
        <v>2.9999999999999997E-4</v>
      </c>
      <c r="D36" s="68">
        <f t="shared" si="3"/>
        <v>0</v>
      </c>
      <c r="E36" s="233">
        <f>B36*'System Calculation'!$I$14</f>
        <v>0</v>
      </c>
      <c r="F36" s="24">
        <v>3.0000000000000001E-3</v>
      </c>
      <c r="G36" s="68">
        <f t="shared" si="4"/>
        <v>0</v>
      </c>
      <c r="H36" s="60"/>
      <c r="I36" s="60"/>
      <c r="J36" s="60">
        <f t="shared" si="9"/>
        <v>0</v>
      </c>
      <c r="K36" s="60"/>
      <c r="L36" s="123" t="str">
        <f>IF(J36&lt;&gt;0,4*J36," ")</f>
        <v xml:space="preserve"> </v>
      </c>
      <c r="N36" s="41" t="str">
        <f>IF(AND(B36&gt;0,B36&lt;5),CONCATENATE("Info: External 24V needed. Control Panel could provide from 24Vaux, if 500mA maximum current isn't exceeded. Current requested from device(s) = ",D36,"mA."),IF(B36=0," ",IF(OR(B36=5,B36&gt;5),CONCATENATE("Warning: External 24V PSU is mandatory. Current requested from devices = ",D36,"mA.")," ")))</f>
        <v xml:space="preserve"> </v>
      </c>
    </row>
    <row r="37" spans="1:14" x14ac:dyDescent="0.25">
      <c r="A37" s="25" t="s">
        <v>35</v>
      </c>
      <c r="B37" s="23"/>
      <c r="C37" s="24">
        <v>2.9999999999999997E-4</v>
      </c>
      <c r="D37" s="68">
        <f t="shared" si="3"/>
        <v>0</v>
      </c>
      <c r="E37" s="233">
        <f>B37*'System Calculation'!$I$14</f>
        <v>0</v>
      </c>
      <c r="F37" s="24">
        <v>3.0000000000000001E-3</v>
      </c>
      <c r="G37" s="68">
        <f t="shared" si="4"/>
        <v>0</v>
      </c>
      <c r="H37" s="60"/>
      <c r="I37" s="60"/>
      <c r="J37" s="60">
        <f t="shared" si="9"/>
        <v>0</v>
      </c>
      <c r="K37" s="60"/>
      <c r="L37" s="123" t="str">
        <f>IF(J37&lt;&gt;0,10*J37," ")</f>
        <v xml:space="preserve"> </v>
      </c>
      <c r="N37" s="41" t="str">
        <f t="shared" ref="N37:N42" si="10">IF(AND(B37&gt;0),"Info: External 24V needed. Control Panel could provide from 24Vaux, if 500mA maximum current isn't exceeded."," ")</f>
        <v xml:space="preserve"> </v>
      </c>
    </row>
    <row r="38" spans="1:14" x14ac:dyDescent="0.25">
      <c r="A38" s="25" t="s">
        <v>36</v>
      </c>
      <c r="B38" s="23"/>
      <c r="C38" s="24">
        <v>2.9999999999999997E-4</v>
      </c>
      <c r="D38" s="68">
        <f t="shared" si="3"/>
        <v>0</v>
      </c>
      <c r="E38" s="233">
        <f>B38*'System Calculation'!$I$14</f>
        <v>0</v>
      </c>
      <c r="F38" s="24">
        <v>3.0000000000000001E-3</v>
      </c>
      <c r="G38" s="68">
        <f t="shared" si="4"/>
        <v>0</v>
      </c>
      <c r="H38" s="60"/>
      <c r="I38" s="60"/>
      <c r="J38" s="60">
        <f t="shared" si="9"/>
        <v>0</v>
      </c>
      <c r="K38" s="60"/>
      <c r="L38" s="123" t="str">
        <f>IF(J38&lt;&gt;0,20*J38," ")</f>
        <v xml:space="preserve"> </v>
      </c>
      <c r="N38" s="41" t="str">
        <f t="shared" si="10"/>
        <v xml:space="preserve"> </v>
      </c>
    </row>
    <row r="39" spans="1:14" x14ac:dyDescent="0.25">
      <c r="A39" s="25" t="s">
        <v>26</v>
      </c>
      <c r="B39" s="23"/>
      <c r="C39" s="24">
        <v>2.9999999999999997E-4</v>
      </c>
      <c r="D39" s="68">
        <f t="shared" si="3"/>
        <v>0</v>
      </c>
      <c r="E39" s="233">
        <f>B39*'System Calculation'!$I$14</f>
        <v>0</v>
      </c>
      <c r="F39" s="24">
        <v>3.0000000000000001E-3</v>
      </c>
      <c r="G39" s="68">
        <f t="shared" si="4"/>
        <v>0</v>
      </c>
      <c r="H39" s="60"/>
      <c r="I39" s="60"/>
      <c r="J39" s="60" t="str">
        <f>IF(B39&lt;&gt;0,B39," ")</f>
        <v xml:space="preserve"> </v>
      </c>
      <c r="K39" s="60"/>
      <c r="L39" s="123" t="str">
        <f>IF(J39&lt;&gt;0,J39," ")</f>
        <v xml:space="preserve"> </v>
      </c>
      <c r="N39" s="41" t="str">
        <f t="shared" si="10"/>
        <v xml:space="preserve"> </v>
      </c>
    </row>
    <row r="40" spans="1:14" x14ac:dyDescent="0.25">
      <c r="A40" s="25" t="s">
        <v>27</v>
      </c>
      <c r="B40" s="23"/>
      <c r="C40" s="24">
        <v>2.9999999999999997E-4</v>
      </c>
      <c r="D40" s="68">
        <f t="shared" si="3"/>
        <v>0</v>
      </c>
      <c r="E40" s="233">
        <f>B40*'System Calculation'!$I$14</f>
        <v>0</v>
      </c>
      <c r="F40" s="24">
        <v>3.0000000000000001E-3</v>
      </c>
      <c r="G40" s="68">
        <f t="shared" si="4"/>
        <v>0</v>
      </c>
      <c r="H40" s="60"/>
      <c r="I40" s="60"/>
      <c r="J40" s="60">
        <f>IF(B40&lt;&gt;0,B40,0)</f>
        <v>0</v>
      </c>
      <c r="K40" s="60"/>
      <c r="L40" s="123" t="str">
        <f>IF(J40&lt;&gt;0,2*J40," ")</f>
        <v xml:space="preserve"> </v>
      </c>
      <c r="N40" s="41" t="str">
        <f t="shared" si="10"/>
        <v xml:space="preserve"> </v>
      </c>
    </row>
    <row r="41" spans="1:14" x14ac:dyDescent="0.25">
      <c r="A41" s="25" t="s">
        <v>28</v>
      </c>
      <c r="B41" s="23"/>
      <c r="C41" s="24">
        <v>2.9999999999999997E-4</v>
      </c>
      <c r="D41" s="68">
        <f t="shared" si="3"/>
        <v>0</v>
      </c>
      <c r="E41" s="233">
        <f>B41*'System Calculation'!$I$14</f>
        <v>0</v>
      </c>
      <c r="F41" s="24">
        <v>3.0000000000000001E-3</v>
      </c>
      <c r="G41" s="68">
        <f t="shared" si="4"/>
        <v>0</v>
      </c>
      <c r="H41" s="60"/>
      <c r="I41" s="60"/>
      <c r="J41" s="60" t="str">
        <f>IF(B41&lt;&gt;0,B41," ")</f>
        <v xml:space="preserve"> </v>
      </c>
      <c r="K41" s="60"/>
      <c r="L41" s="123" t="str">
        <f>IF(J41&lt;&gt;0,J41," ")</f>
        <v xml:space="preserve"> </v>
      </c>
      <c r="N41" s="41" t="str">
        <f t="shared" si="10"/>
        <v xml:space="preserve"> </v>
      </c>
    </row>
    <row r="42" spans="1:14" x14ac:dyDescent="0.25">
      <c r="A42" s="25" t="s">
        <v>29</v>
      </c>
      <c r="B42" s="23"/>
      <c r="C42" s="24">
        <v>2.9999999999999997E-4</v>
      </c>
      <c r="D42" s="68">
        <f t="shared" si="3"/>
        <v>0</v>
      </c>
      <c r="E42" s="233">
        <f>B42*'System Calculation'!$I$14</f>
        <v>0</v>
      </c>
      <c r="F42" s="24">
        <v>3.0000000000000001E-3</v>
      </c>
      <c r="G42" s="68">
        <f t="shared" si="4"/>
        <v>0</v>
      </c>
      <c r="H42" s="60"/>
      <c r="I42" s="60"/>
      <c r="J42" s="60">
        <f>IF(B42&lt;&gt;0,B42,0)</f>
        <v>0</v>
      </c>
      <c r="K42" s="60"/>
      <c r="L42" s="123" t="str">
        <f>IF(J42&lt;&gt;0,2*J42," ")</f>
        <v xml:space="preserve"> </v>
      </c>
      <c r="N42" s="41" t="str">
        <f t="shared" si="10"/>
        <v xml:space="preserve"> </v>
      </c>
    </row>
    <row r="43" spans="1:14" x14ac:dyDescent="0.25">
      <c r="A43" s="25" t="s">
        <v>30</v>
      </c>
      <c r="B43" s="23"/>
      <c r="C43" s="24">
        <v>2.9999999999999997E-4</v>
      </c>
      <c r="D43" s="68">
        <f t="shared" si="3"/>
        <v>0</v>
      </c>
      <c r="E43" s="233">
        <f>B43*'System Calculation'!$I$12</f>
        <v>0</v>
      </c>
      <c r="F43" s="24">
        <v>3.0000000000000001E-3</v>
      </c>
      <c r="G43" s="68">
        <f t="shared" si="4"/>
        <v>0</v>
      </c>
      <c r="H43" s="60"/>
      <c r="I43" s="59"/>
      <c r="J43" s="60"/>
      <c r="K43" s="60"/>
      <c r="L43" s="123" t="str">
        <f>IF(B43&lt;&gt;0,B43," ")</f>
        <v xml:space="preserve"> </v>
      </c>
      <c r="N43" s="11"/>
    </row>
    <row r="44" spans="1:14" x14ac:dyDescent="0.25">
      <c r="A44" s="25" t="s">
        <v>37</v>
      </c>
      <c r="B44" s="23"/>
      <c r="C44" s="24">
        <v>2.9999999999999997E-4</v>
      </c>
      <c r="D44" s="68">
        <f t="shared" si="3"/>
        <v>0</v>
      </c>
      <c r="E44" s="233">
        <f>B44*'System Calculation'!$I$12</f>
        <v>0</v>
      </c>
      <c r="F44" s="24">
        <v>3.0000000000000001E-3</v>
      </c>
      <c r="G44" s="68">
        <f t="shared" si="4"/>
        <v>0</v>
      </c>
      <c r="H44" s="60"/>
      <c r="I44" s="60"/>
      <c r="J44" s="60"/>
      <c r="K44" s="60"/>
      <c r="L44" s="123" t="str">
        <f>IF(B44&lt;&gt;0,B44," ")</f>
        <v xml:space="preserve"> </v>
      </c>
    </row>
    <row r="45" spans="1:14" x14ac:dyDescent="0.25">
      <c r="A45" s="22" t="s">
        <v>14</v>
      </c>
      <c r="B45" s="23"/>
      <c r="C45" s="24">
        <v>2.9999999999999997E-4</v>
      </c>
      <c r="D45" s="68">
        <f t="shared" si="3"/>
        <v>0</v>
      </c>
      <c r="E45" s="233">
        <f>B45*'System Calculation'!$I$13</f>
        <v>0</v>
      </c>
      <c r="F45" s="24">
        <v>8.9999999999999993E-3</v>
      </c>
      <c r="G45" s="68">
        <f>E45*F45</f>
        <v>0</v>
      </c>
      <c r="H45" s="60" t="str">
        <f>IF(B45*G45=0," ",G45)</f>
        <v xml:space="preserve"> </v>
      </c>
      <c r="I45" s="60"/>
      <c r="J45" s="60"/>
      <c r="K45" s="60" t="str">
        <f t="shared" ref="K45:K53" si="11">IF(B45&lt;&gt;0,B45," ")</f>
        <v xml:space="preserve"> </v>
      </c>
      <c r="L45" s="123" t="str">
        <f>IF(K45&lt;&gt;0,K45," ")</f>
        <v xml:space="preserve"> </v>
      </c>
    </row>
    <row r="46" spans="1:14" x14ac:dyDescent="0.25">
      <c r="A46" s="25" t="s">
        <v>201</v>
      </c>
      <c r="B46" s="23"/>
      <c r="C46" s="24">
        <v>2.9999999999999997E-4</v>
      </c>
      <c r="D46" s="68">
        <f t="shared" si="3"/>
        <v>0</v>
      </c>
      <c r="E46" s="233">
        <f>B46*'System Calculation'!$I$13</f>
        <v>0</v>
      </c>
      <c r="F46" s="24">
        <v>6.4999999999999997E-3</v>
      </c>
      <c r="G46" s="68">
        <f t="shared" ref="G46:G51" si="12">E46*F46</f>
        <v>0</v>
      </c>
      <c r="H46" s="60" t="str">
        <f t="shared" ref="H46:H51" si="13">IF(B46*G46=0," ",G46)</f>
        <v xml:space="preserve"> </v>
      </c>
      <c r="I46" s="60"/>
      <c r="J46" s="60"/>
      <c r="K46" s="60" t="str">
        <f t="shared" si="11"/>
        <v xml:space="preserve"> </v>
      </c>
      <c r="L46" s="123" t="str">
        <f t="shared" ref="L46:L51" si="14">IF(K46&lt;&gt;0,K46," ")</f>
        <v xml:space="preserve"> </v>
      </c>
    </row>
    <row r="47" spans="1:14" x14ac:dyDescent="0.25">
      <c r="A47" s="25" t="s">
        <v>202</v>
      </c>
      <c r="B47" s="23"/>
      <c r="C47" s="24">
        <v>2.9999999999999997E-4</v>
      </c>
      <c r="D47" s="68">
        <f t="shared" si="3"/>
        <v>0</v>
      </c>
      <c r="E47" s="233">
        <f>B47*'System Calculation'!$I$13</f>
        <v>0</v>
      </c>
      <c r="F47" s="24">
        <v>9.7000000000000003E-3</v>
      </c>
      <c r="G47" s="68">
        <f t="shared" si="12"/>
        <v>0</v>
      </c>
      <c r="H47" s="60" t="str">
        <f t="shared" si="13"/>
        <v xml:space="preserve"> </v>
      </c>
      <c r="I47" s="60"/>
      <c r="J47" s="60"/>
      <c r="K47" s="60" t="str">
        <f t="shared" si="11"/>
        <v xml:space="preserve"> </v>
      </c>
      <c r="L47" s="123" t="str">
        <f t="shared" si="14"/>
        <v xml:space="preserve"> </v>
      </c>
    </row>
    <row r="48" spans="1:14" x14ac:dyDescent="0.25">
      <c r="A48" s="25" t="s">
        <v>203</v>
      </c>
      <c r="B48" s="23"/>
      <c r="C48" s="24">
        <v>2.9999999999999997E-4</v>
      </c>
      <c r="D48" s="68">
        <f t="shared" si="3"/>
        <v>0</v>
      </c>
      <c r="E48" s="233">
        <f>B48*'System Calculation'!$I$13</f>
        <v>0</v>
      </c>
      <c r="F48" s="24">
        <v>1.2999999999999999E-2</v>
      </c>
      <c r="G48" s="68">
        <f t="shared" si="12"/>
        <v>0</v>
      </c>
      <c r="H48" s="60" t="str">
        <f t="shared" si="13"/>
        <v xml:space="preserve"> </v>
      </c>
      <c r="I48" s="60"/>
      <c r="J48" s="60"/>
      <c r="K48" s="60" t="str">
        <f t="shared" si="11"/>
        <v xml:space="preserve"> </v>
      </c>
      <c r="L48" s="123" t="str">
        <f t="shared" si="14"/>
        <v xml:space="preserve"> </v>
      </c>
    </row>
    <row r="49" spans="1:14" x14ac:dyDescent="0.25">
      <c r="A49" s="25" t="s">
        <v>204</v>
      </c>
      <c r="B49" s="23"/>
      <c r="C49" s="24">
        <v>2.9999999999999997E-4</v>
      </c>
      <c r="D49" s="68">
        <f t="shared" si="3"/>
        <v>0</v>
      </c>
      <c r="E49" s="233">
        <f>B49*'System Calculation'!$I$13</f>
        <v>0</v>
      </c>
      <c r="F49" s="24">
        <v>6.4999999999999997E-3</v>
      </c>
      <c r="G49" s="68">
        <f t="shared" si="12"/>
        <v>0</v>
      </c>
      <c r="H49" s="60" t="str">
        <f t="shared" si="13"/>
        <v xml:space="preserve"> </v>
      </c>
      <c r="I49" s="60"/>
      <c r="J49" s="60"/>
      <c r="K49" s="60" t="str">
        <f t="shared" si="11"/>
        <v xml:space="preserve"> </v>
      </c>
      <c r="L49" s="123" t="str">
        <f t="shared" si="14"/>
        <v xml:space="preserve"> </v>
      </c>
    </row>
    <row r="50" spans="1:14" x14ac:dyDescent="0.25">
      <c r="A50" s="25" t="s">
        <v>205</v>
      </c>
      <c r="B50" s="23"/>
      <c r="C50" s="24">
        <v>2.9999999999999997E-4</v>
      </c>
      <c r="D50" s="68">
        <f t="shared" si="3"/>
        <v>0</v>
      </c>
      <c r="E50" s="233">
        <f>B50*'System Calculation'!$I$13</f>
        <v>0</v>
      </c>
      <c r="F50" s="24">
        <v>9.7000000000000003E-3</v>
      </c>
      <c r="G50" s="68">
        <f t="shared" si="12"/>
        <v>0</v>
      </c>
      <c r="H50" s="60" t="str">
        <f t="shared" si="13"/>
        <v xml:space="preserve"> </v>
      </c>
      <c r="I50" s="60"/>
      <c r="J50" s="60"/>
      <c r="K50" s="60" t="str">
        <f t="shared" si="11"/>
        <v xml:space="preserve"> </v>
      </c>
      <c r="L50" s="123" t="str">
        <f t="shared" si="14"/>
        <v xml:space="preserve"> </v>
      </c>
    </row>
    <row r="51" spans="1:14" x14ac:dyDescent="0.25">
      <c r="A51" s="25" t="s">
        <v>206</v>
      </c>
      <c r="B51" s="23"/>
      <c r="C51" s="24">
        <v>2.9999999999999997E-4</v>
      </c>
      <c r="D51" s="68">
        <f t="shared" si="3"/>
        <v>0</v>
      </c>
      <c r="E51" s="233">
        <f>B51*'System Calculation'!$I$13</f>
        <v>0</v>
      </c>
      <c r="F51" s="24">
        <v>1.2999999999999999E-2</v>
      </c>
      <c r="G51" s="68">
        <f t="shared" si="12"/>
        <v>0</v>
      </c>
      <c r="H51" s="60" t="str">
        <f t="shared" si="13"/>
        <v xml:space="preserve"> </v>
      </c>
      <c r="I51" s="60"/>
      <c r="J51" s="60"/>
      <c r="K51" s="60" t="str">
        <f t="shared" si="11"/>
        <v xml:space="preserve"> </v>
      </c>
      <c r="L51" s="123" t="str">
        <f t="shared" si="14"/>
        <v xml:space="preserve"> </v>
      </c>
    </row>
    <row r="52" spans="1:14" x14ac:dyDescent="0.25">
      <c r="A52" s="25" t="s">
        <v>12</v>
      </c>
      <c r="B52" s="23"/>
      <c r="C52" s="24">
        <v>3.5E-4</v>
      </c>
      <c r="D52" s="68">
        <f>B52*C52</f>
        <v>0</v>
      </c>
      <c r="E52" s="233">
        <f>B52*'System Calculation'!$I$13</f>
        <v>0</v>
      </c>
      <c r="F52" s="24">
        <v>1.4E-2</v>
      </c>
      <c r="G52" s="68">
        <f t="shared" si="4"/>
        <v>0</v>
      </c>
      <c r="H52" s="60" t="str">
        <f t="shared" ref="H52:H53" si="15">IF(B52*G52=0," ",G52)</f>
        <v xml:space="preserve"> </v>
      </c>
      <c r="I52" s="60"/>
      <c r="J52" s="60"/>
      <c r="K52" s="60" t="str">
        <f t="shared" si="11"/>
        <v xml:space="preserve"> </v>
      </c>
      <c r="L52" s="123" t="str">
        <f t="shared" ref="L52:L53" si="16">IF(K52&lt;&gt;0,K52," ")</f>
        <v xml:space="preserve"> </v>
      </c>
    </row>
    <row r="53" spans="1:14" x14ac:dyDescent="0.25">
      <c r="A53" s="25" t="s">
        <v>11</v>
      </c>
      <c r="B53" s="23"/>
      <c r="C53" s="24">
        <v>3.5E-4</v>
      </c>
      <c r="D53" s="68">
        <f t="shared" si="3"/>
        <v>0</v>
      </c>
      <c r="E53" s="233">
        <f>B53*'System Calculation'!$I$13</f>
        <v>0</v>
      </c>
      <c r="F53" s="24">
        <v>1.4999999999999999E-2</v>
      </c>
      <c r="G53" s="68">
        <f t="shared" si="4"/>
        <v>0</v>
      </c>
      <c r="H53" s="60" t="str">
        <f t="shared" si="15"/>
        <v xml:space="preserve"> </v>
      </c>
      <c r="I53" s="60"/>
      <c r="J53" s="60"/>
      <c r="K53" s="60" t="str">
        <f t="shared" si="11"/>
        <v xml:space="preserve"> </v>
      </c>
      <c r="L53" s="123" t="str">
        <f t="shared" si="16"/>
        <v xml:space="preserve"> </v>
      </c>
    </row>
    <row r="54" spans="1:14" x14ac:dyDescent="0.25">
      <c r="A54" s="22" t="s">
        <v>6</v>
      </c>
      <c r="B54" s="23"/>
      <c r="C54" s="24">
        <v>2.9999999999999997E-4</v>
      </c>
      <c r="D54" s="68">
        <f t="shared" si="3"/>
        <v>0</v>
      </c>
      <c r="E54" s="233">
        <f>B54*'System Calculation'!$I$14</f>
        <v>0</v>
      </c>
      <c r="F54" s="24">
        <v>3.0000000000000001E-3</v>
      </c>
      <c r="G54" s="68">
        <f t="shared" si="4"/>
        <v>0</v>
      </c>
      <c r="H54" s="60"/>
      <c r="I54" s="60"/>
      <c r="J54" s="60" t="str">
        <f>IF(B54&lt;&gt;0,B54," ")</f>
        <v xml:space="preserve"> </v>
      </c>
      <c r="K54" s="60"/>
      <c r="L54" s="123" t="str">
        <f>IF(J54&lt;&gt;0,J54," ")</f>
        <v xml:space="preserve"> </v>
      </c>
      <c r="N54" s="41"/>
    </row>
    <row r="55" spans="1:14" x14ac:dyDescent="0.25">
      <c r="A55" s="22" t="s">
        <v>7</v>
      </c>
      <c r="B55" s="23"/>
      <c r="C55" s="24">
        <v>2.9999999999999997E-4</v>
      </c>
      <c r="D55" s="68">
        <f t="shared" si="3"/>
        <v>0</v>
      </c>
      <c r="E55" s="233"/>
      <c r="F55" s="24">
        <v>0.05</v>
      </c>
      <c r="G55" s="68">
        <f t="shared" si="4"/>
        <v>0</v>
      </c>
      <c r="H55" s="60"/>
      <c r="I55" s="60"/>
      <c r="J55" s="60"/>
      <c r="K55" s="60"/>
      <c r="L55" s="123"/>
    </row>
    <row r="56" spans="1:14" x14ac:dyDescent="0.25">
      <c r="A56" s="25" t="s">
        <v>71</v>
      </c>
      <c r="B56" s="23"/>
      <c r="C56" s="24">
        <v>6.2500000000000001E-4</v>
      </c>
      <c r="D56" s="68">
        <f t="shared" si="3"/>
        <v>0</v>
      </c>
      <c r="E56" s="233">
        <f>IF(B56&gt;10,10,B56)</f>
        <v>0</v>
      </c>
      <c r="F56" s="24">
        <v>5.0000000000000001E-3</v>
      </c>
      <c r="G56" s="68">
        <f t="shared" si="4"/>
        <v>0</v>
      </c>
      <c r="H56" s="60"/>
      <c r="I56" s="60"/>
      <c r="J56" s="60"/>
      <c r="K56" s="60"/>
      <c r="L56" s="123"/>
    </row>
    <row r="57" spans="1:14" x14ac:dyDescent="0.25">
      <c r="A57" s="25" t="s">
        <v>197</v>
      </c>
      <c r="B57" s="23"/>
      <c r="C57" s="24">
        <v>1.85E-4</v>
      </c>
      <c r="D57" s="68">
        <f t="shared" si="3"/>
        <v>0</v>
      </c>
      <c r="E57" s="233">
        <f>IF(B57&gt;10,10,B57)</f>
        <v>0</v>
      </c>
      <c r="F57" s="24">
        <v>4.0000000000000001E-3</v>
      </c>
      <c r="G57" s="68">
        <f t="shared" si="4"/>
        <v>0</v>
      </c>
      <c r="H57" s="60"/>
      <c r="I57" s="60"/>
      <c r="J57" s="60"/>
      <c r="K57" s="60"/>
      <c r="L57" s="123"/>
    </row>
    <row r="58" spans="1:14" x14ac:dyDescent="0.25">
      <c r="A58" s="25" t="s">
        <v>72</v>
      </c>
      <c r="B58" s="23"/>
      <c r="C58" s="24">
        <v>2.9999999999999997E-4</v>
      </c>
      <c r="D58" s="68">
        <f t="shared" si="3"/>
        <v>0</v>
      </c>
      <c r="E58" s="233"/>
      <c r="F58" s="24">
        <v>3.0000000000000001E-3</v>
      </c>
      <c r="G58" s="68">
        <f t="shared" si="4"/>
        <v>0</v>
      </c>
      <c r="H58" s="60"/>
      <c r="I58" s="60"/>
      <c r="J58" s="60"/>
      <c r="K58" s="60"/>
      <c r="L58" s="123" t="str">
        <f>IF(B58&lt;&gt;0,3*B58," ")</f>
        <v xml:space="preserve"> </v>
      </c>
    </row>
    <row r="59" spans="1:14" x14ac:dyDescent="0.25">
      <c r="A59" s="25" t="s">
        <v>73</v>
      </c>
      <c r="B59" s="23"/>
      <c r="C59" s="24">
        <v>2.9999999999999997E-4</v>
      </c>
      <c r="D59" s="68">
        <f t="shared" si="3"/>
        <v>0</v>
      </c>
      <c r="E59" s="233"/>
      <c r="F59" s="24">
        <v>3.0000000000000001E-3</v>
      </c>
      <c r="G59" s="68">
        <f t="shared" si="4"/>
        <v>0</v>
      </c>
      <c r="H59" s="60"/>
      <c r="I59" s="60"/>
      <c r="J59" s="60"/>
      <c r="K59" s="60"/>
      <c r="L59" s="123" t="str">
        <f>IF(B59&lt;&gt;0,5*B59," ")</f>
        <v xml:space="preserve"> </v>
      </c>
    </row>
    <row r="60" spans="1:14" x14ac:dyDescent="0.25">
      <c r="A60" s="25" t="s">
        <v>74</v>
      </c>
      <c r="B60" s="23"/>
      <c r="C60" s="24">
        <v>2.9999999999999997E-4</v>
      </c>
      <c r="D60" s="68">
        <f t="shared" si="3"/>
        <v>0</v>
      </c>
      <c r="E60" s="233"/>
      <c r="F60" s="24">
        <v>3.0000000000000001E-3</v>
      </c>
      <c r="G60" s="68">
        <f t="shared" si="4"/>
        <v>0</v>
      </c>
      <c r="H60" s="60"/>
      <c r="I60" s="60"/>
      <c r="J60" s="60"/>
      <c r="K60" s="60"/>
      <c r="L60" s="123" t="str">
        <f>IF(B60&lt;&gt;0,9*B60," ")</f>
        <v xml:space="preserve"> </v>
      </c>
    </row>
    <row r="61" spans="1:14" x14ac:dyDescent="0.25">
      <c r="A61" s="25" t="s">
        <v>75</v>
      </c>
      <c r="B61" s="23"/>
      <c r="C61" s="24">
        <v>2.9999999999999997E-4</v>
      </c>
      <c r="D61" s="68">
        <f t="shared" si="3"/>
        <v>0</v>
      </c>
      <c r="E61" s="233"/>
      <c r="F61" s="24">
        <v>3.0000000000000001E-3</v>
      </c>
      <c r="G61" s="68">
        <f t="shared" si="4"/>
        <v>0</v>
      </c>
      <c r="H61" s="60"/>
      <c r="I61" s="60"/>
      <c r="J61" s="60"/>
      <c r="K61" s="60"/>
      <c r="L61" s="123" t="str">
        <f>IF(B61&lt;&gt;0,13*B61," ")</f>
        <v xml:space="preserve"> </v>
      </c>
    </row>
    <row r="62" spans="1:14" ht="13.8" thickBot="1" x14ac:dyDescent="0.3">
      <c r="A62" s="126" t="s">
        <v>76</v>
      </c>
      <c r="B62" s="127"/>
      <c r="C62" s="199">
        <v>2.9999999999999997E-4</v>
      </c>
      <c r="D62" s="128">
        <f t="shared" si="3"/>
        <v>0</v>
      </c>
      <c r="E62" s="235"/>
      <c r="F62" s="199">
        <v>3.0000000000000001E-3</v>
      </c>
      <c r="G62" s="128">
        <f t="shared" si="4"/>
        <v>0</v>
      </c>
      <c r="H62" s="50"/>
      <c r="I62" s="50"/>
      <c r="J62" s="50"/>
      <c r="K62" s="141"/>
      <c r="L62" s="129" t="str">
        <f>IF(B62&lt;&gt;0,7*B62," ")</f>
        <v xml:space="preserve"> </v>
      </c>
    </row>
    <row r="63" spans="1:14" s="7" customFormat="1" ht="13.8" thickBot="1" x14ac:dyDescent="0.3">
      <c r="A63" s="19" t="s">
        <v>8</v>
      </c>
      <c r="B63" s="73">
        <f>SUM(B15:B55)+SUM(L58:L62)</f>
        <v>0</v>
      </c>
      <c r="C63" s="20"/>
      <c r="D63" s="70">
        <f>SUM(D15:D62)</f>
        <v>0</v>
      </c>
      <c r="E63" s="72">
        <f>SUM(E15:E55)</f>
        <v>0</v>
      </c>
      <c r="F63" s="70"/>
      <c r="G63" s="70">
        <f>SUM(G15:G62)</f>
        <v>0</v>
      </c>
      <c r="H63" s="70">
        <f t="shared" ref="H63:L63" si="17">SUM(H15:H62)</f>
        <v>0</v>
      </c>
      <c r="I63" s="73">
        <f t="shared" si="17"/>
        <v>0</v>
      </c>
      <c r="J63" s="73">
        <f t="shared" si="17"/>
        <v>0</v>
      </c>
      <c r="K63" s="73">
        <f t="shared" si="17"/>
        <v>0</v>
      </c>
      <c r="L63" s="142">
        <f t="shared" si="17"/>
        <v>0</v>
      </c>
    </row>
    <row r="64" spans="1:14" s="7" customFormat="1" x14ac:dyDescent="0.25">
      <c r="A64" s="29"/>
      <c r="B64" s="119"/>
      <c r="C64" s="120"/>
      <c r="D64" s="121"/>
      <c r="E64" s="122"/>
      <c r="F64" s="121"/>
      <c r="G64" s="121"/>
      <c r="H64" s="121"/>
      <c r="I64" s="121"/>
      <c r="J64" s="121"/>
      <c r="K64" s="119"/>
      <c r="L64" s="119"/>
    </row>
    <row r="65" spans="1:12" ht="14.4" customHeight="1" thickBot="1" x14ac:dyDescent="0.3">
      <c r="E65" s="32"/>
      <c r="K65" s="150" t="str">
        <f>IF($L$63&gt;250,"Error: The Loop cannot contain more than 250 addresses","")</f>
        <v/>
      </c>
    </row>
    <row r="66" spans="1:12" ht="14.4" customHeight="1" thickBot="1" x14ac:dyDescent="0.3">
      <c r="A66" s="19" t="s">
        <v>137</v>
      </c>
      <c r="B66" s="130"/>
      <c r="C66" s="130"/>
      <c r="D66" s="131"/>
      <c r="E66" s="32"/>
    </row>
    <row r="67" spans="1:12" ht="14.4" customHeight="1" x14ac:dyDescent="0.25">
      <c r="A67" s="111" t="s">
        <v>138</v>
      </c>
      <c r="B67" s="139">
        <v>1.72E-2</v>
      </c>
      <c r="C67" s="52"/>
      <c r="D67" s="134" t="s">
        <v>139</v>
      </c>
      <c r="E67" s="32"/>
    </row>
    <row r="68" spans="1:12" ht="14.4" customHeight="1" x14ac:dyDescent="0.25">
      <c r="A68" s="39" t="s">
        <v>140</v>
      </c>
      <c r="B68" s="137">
        <f>D63</f>
        <v>0</v>
      </c>
      <c r="C68" s="60"/>
      <c r="D68" s="109" t="s">
        <v>9</v>
      </c>
      <c r="E68" s="32"/>
    </row>
    <row r="69" spans="1:12" ht="14.4" customHeight="1" x14ac:dyDescent="0.25">
      <c r="A69" s="39" t="s">
        <v>141</v>
      </c>
      <c r="B69" s="137">
        <f>G63-H63</f>
        <v>0</v>
      </c>
      <c r="C69" s="60"/>
      <c r="D69" s="109" t="s">
        <v>9</v>
      </c>
      <c r="E69" s="32"/>
    </row>
    <row r="70" spans="1:12" ht="14.4" customHeight="1" x14ac:dyDescent="0.25">
      <c r="A70" s="39" t="s">
        <v>142</v>
      </c>
      <c r="B70" s="137">
        <f>H63</f>
        <v>0</v>
      </c>
      <c r="C70" s="60"/>
      <c r="D70" s="109" t="s">
        <v>9</v>
      </c>
      <c r="E70" s="32"/>
    </row>
    <row r="71" spans="1:12" ht="14.4" customHeight="1" x14ac:dyDescent="0.25">
      <c r="A71" s="39" t="s">
        <v>143</v>
      </c>
      <c r="B71" s="137">
        <f>SUM(B68:B70)</f>
        <v>0</v>
      </c>
      <c r="C71" s="60"/>
      <c r="D71" s="109" t="s">
        <v>9</v>
      </c>
      <c r="E71" s="32"/>
    </row>
    <row r="72" spans="1:12" ht="14.4" customHeight="1" thickBot="1" x14ac:dyDescent="0.3">
      <c r="A72" s="140" t="s">
        <v>144</v>
      </c>
      <c r="B72" s="124">
        <v>6.9</v>
      </c>
      <c r="C72" s="124"/>
      <c r="D72" s="34" t="s">
        <v>145</v>
      </c>
      <c r="E72" s="32"/>
    </row>
    <row r="73" spans="1:12" ht="14.4" customHeight="1" thickBot="1" x14ac:dyDescent="0.3">
      <c r="A73" s="17"/>
      <c r="E73" s="32"/>
    </row>
    <row r="74" spans="1:12" ht="14.4" customHeight="1" thickBot="1" x14ac:dyDescent="0.3">
      <c r="A74" s="8" t="s">
        <v>155</v>
      </c>
      <c r="B74" s="147"/>
      <c r="C74" s="147"/>
      <c r="D74" s="147"/>
      <c r="E74" s="162"/>
      <c r="F74" s="147"/>
      <c r="G74" s="147"/>
      <c r="H74" s="147"/>
      <c r="I74" s="147"/>
      <c r="J74" s="147"/>
      <c r="K74" s="148"/>
      <c r="L74" s="151" t="s">
        <v>151</v>
      </c>
    </row>
    <row r="75" spans="1:12" ht="14.4" customHeight="1" x14ac:dyDescent="0.25">
      <c r="A75" s="169" t="s">
        <v>156</v>
      </c>
      <c r="B75" s="52">
        <v>1000</v>
      </c>
      <c r="C75" s="52"/>
      <c r="D75" s="52">
        <v>1500</v>
      </c>
      <c r="E75" s="161"/>
      <c r="F75" s="52"/>
      <c r="G75" s="52">
        <v>2000</v>
      </c>
      <c r="H75" s="52">
        <v>2500</v>
      </c>
      <c r="I75" s="52">
        <v>3000</v>
      </c>
      <c r="J75" s="165">
        <v>3500</v>
      </c>
      <c r="K75" s="152" t="s">
        <v>152</v>
      </c>
    </row>
    <row r="76" spans="1:12" ht="14.4" customHeight="1" x14ac:dyDescent="0.25">
      <c r="A76" s="138" t="s">
        <v>157</v>
      </c>
      <c r="B76" s="154" t="e">
        <f>((($B$67*B75)/B78)*2)</f>
        <v>#DIV/0!</v>
      </c>
      <c r="C76" s="154" t="e">
        <f t="shared" ref="C76:J76" si="18">((($B$67*C75)/C78)*2)</f>
        <v>#DIV/0!</v>
      </c>
      <c r="D76" s="154" t="e">
        <f t="shared" si="18"/>
        <v>#DIV/0!</v>
      </c>
      <c r="E76" s="154" t="e">
        <f t="shared" si="18"/>
        <v>#DIV/0!</v>
      </c>
      <c r="F76" s="154" t="e">
        <f t="shared" si="18"/>
        <v>#DIV/0!</v>
      </c>
      <c r="G76" s="154" t="e">
        <f t="shared" si="18"/>
        <v>#DIV/0!</v>
      </c>
      <c r="H76" s="154" t="e">
        <f t="shared" si="18"/>
        <v>#DIV/0!</v>
      </c>
      <c r="I76" s="154" t="e">
        <f t="shared" si="18"/>
        <v>#DIV/0!</v>
      </c>
      <c r="J76" s="154" t="e">
        <f t="shared" si="18"/>
        <v>#DIV/0!</v>
      </c>
      <c r="K76" s="153" t="s">
        <v>153</v>
      </c>
    </row>
    <row r="77" spans="1:12" ht="14.4" customHeight="1" thickBot="1" x14ac:dyDescent="0.3">
      <c r="A77" s="168" t="s">
        <v>158</v>
      </c>
      <c r="B77" s="154" t="e">
        <f>B76/2</f>
        <v>#DIV/0!</v>
      </c>
      <c r="C77" s="154" t="e">
        <f t="shared" ref="C77:G77" si="19">C76/2</f>
        <v>#DIV/0!</v>
      </c>
      <c r="D77" s="154" t="e">
        <f t="shared" si="19"/>
        <v>#DIV/0!</v>
      </c>
      <c r="E77" s="154" t="e">
        <f t="shared" si="19"/>
        <v>#DIV/0!</v>
      </c>
      <c r="F77" s="154" t="e">
        <f t="shared" si="19"/>
        <v>#DIV/0!</v>
      </c>
      <c r="G77" s="154" t="e">
        <f t="shared" si="19"/>
        <v>#DIV/0!</v>
      </c>
      <c r="H77" s="154" t="e">
        <f>H76/2</f>
        <v>#DIV/0!</v>
      </c>
      <c r="I77" s="154" t="e">
        <f>I76/2</f>
        <v>#DIV/0!</v>
      </c>
      <c r="J77" s="154" t="e">
        <f>J76/2</f>
        <v>#DIV/0!</v>
      </c>
      <c r="K77" s="167" t="s">
        <v>153</v>
      </c>
    </row>
    <row r="78" spans="1:12" ht="14.4" customHeight="1" thickBot="1" x14ac:dyDescent="0.3">
      <c r="A78" s="19" t="s">
        <v>159</v>
      </c>
      <c r="B78" s="194" t="e">
        <f t="shared" ref="B78:J78" si="20">IF((($B$67*B$75)/(($B$72-((SUM($B$16,$B$18,$B$20,$B$22)*0.155)*$B$71))/$B$71))&lt;0.5,0.5,(($B$67*B$75)/(($B$72-((SUM($B$16,$B$18,$B$20,$B$22)*0.155)*$B$71))/$B$71)))</f>
        <v>#DIV/0!</v>
      </c>
      <c r="C78" s="194" t="e">
        <f t="shared" si="20"/>
        <v>#DIV/0!</v>
      </c>
      <c r="D78" s="194" t="e">
        <f t="shared" si="20"/>
        <v>#DIV/0!</v>
      </c>
      <c r="E78" s="194" t="e">
        <f t="shared" si="20"/>
        <v>#DIV/0!</v>
      </c>
      <c r="F78" s="194" t="e">
        <f t="shared" si="20"/>
        <v>#DIV/0!</v>
      </c>
      <c r="G78" s="194" t="e">
        <f t="shared" si="20"/>
        <v>#DIV/0!</v>
      </c>
      <c r="H78" s="194" t="e">
        <f t="shared" si="20"/>
        <v>#DIV/0!</v>
      </c>
      <c r="I78" s="194" t="e">
        <f t="shared" si="20"/>
        <v>#DIV/0!</v>
      </c>
      <c r="J78" s="194" t="e">
        <f t="shared" si="20"/>
        <v>#DIV/0!</v>
      </c>
      <c r="K78" s="108" t="s">
        <v>131</v>
      </c>
    </row>
    <row r="79" spans="1:12" ht="14.4" customHeight="1" thickBot="1" x14ac:dyDescent="0.3">
      <c r="A79" s="17"/>
      <c r="E79" s="32"/>
    </row>
    <row r="80" spans="1:12" ht="14.4" customHeight="1" thickBot="1" x14ac:dyDescent="0.3">
      <c r="A80" s="8" t="s">
        <v>160</v>
      </c>
      <c r="B80" s="147"/>
      <c r="C80" s="147"/>
      <c r="D80" s="147"/>
      <c r="E80" s="162"/>
      <c r="F80" s="147"/>
      <c r="G80" s="147"/>
      <c r="H80" s="147"/>
      <c r="I80" s="147"/>
      <c r="J80" s="147"/>
      <c r="K80" s="148"/>
      <c r="L80" s="151" t="s">
        <v>154</v>
      </c>
    </row>
    <row r="81" spans="1:11" ht="14.4" customHeight="1" x14ac:dyDescent="0.25">
      <c r="A81" s="163" t="s">
        <v>161</v>
      </c>
      <c r="B81" s="48">
        <v>0.5</v>
      </c>
      <c r="C81" s="52"/>
      <c r="D81" s="52">
        <v>0.75</v>
      </c>
      <c r="E81" s="161"/>
      <c r="F81" s="52"/>
      <c r="G81" s="52">
        <v>1</v>
      </c>
      <c r="H81" s="52">
        <v>1.5</v>
      </c>
      <c r="I81" s="52">
        <v>2.5</v>
      </c>
      <c r="J81" s="165">
        <v>4</v>
      </c>
      <c r="K81" s="152" t="s">
        <v>131</v>
      </c>
    </row>
    <row r="82" spans="1:11" ht="14.4" customHeight="1" x14ac:dyDescent="0.25">
      <c r="A82" s="164" t="s">
        <v>157</v>
      </c>
      <c r="B82" s="154" t="e">
        <f t="shared" ref="B82:J82" si="21">$B$67*B84/B81*2</f>
        <v>#DIV/0!</v>
      </c>
      <c r="C82" s="154" t="e">
        <f t="shared" si="21"/>
        <v>#DIV/0!</v>
      </c>
      <c r="D82" s="154" t="e">
        <f t="shared" si="21"/>
        <v>#DIV/0!</v>
      </c>
      <c r="E82" s="154" t="e">
        <f t="shared" si="21"/>
        <v>#DIV/0!</v>
      </c>
      <c r="F82" s="154" t="e">
        <f t="shared" si="21"/>
        <v>#DIV/0!</v>
      </c>
      <c r="G82" s="154" t="e">
        <f t="shared" si="21"/>
        <v>#DIV/0!</v>
      </c>
      <c r="H82" s="154" t="e">
        <f t="shared" si="21"/>
        <v>#DIV/0!</v>
      </c>
      <c r="I82" s="154" t="e">
        <f t="shared" si="21"/>
        <v>#DIV/0!</v>
      </c>
      <c r="J82" s="154" t="e">
        <f t="shared" si="21"/>
        <v>#DIV/0!</v>
      </c>
      <c r="K82" s="153" t="s">
        <v>153</v>
      </c>
    </row>
    <row r="83" spans="1:11" ht="14.4" customHeight="1" thickBot="1" x14ac:dyDescent="0.3">
      <c r="A83" s="166" t="s">
        <v>158</v>
      </c>
      <c r="B83" s="154" t="e">
        <f>B82/2</f>
        <v>#DIV/0!</v>
      </c>
      <c r="C83" s="154" t="e">
        <f t="shared" ref="C83:G83" si="22">C82/2</f>
        <v>#DIV/0!</v>
      </c>
      <c r="D83" s="154" t="e">
        <f t="shared" si="22"/>
        <v>#DIV/0!</v>
      </c>
      <c r="E83" s="154" t="e">
        <f t="shared" si="22"/>
        <v>#DIV/0!</v>
      </c>
      <c r="F83" s="154" t="e">
        <f t="shared" si="22"/>
        <v>#DIV/0!</v>
      </c>
      <c r="G83" s="154" t="e">
        <f t="shared" si="22"/>
        <v>#DIV/0!</v>
      </c>
      <c r="H83" s="154" t="e">
        <f>H82/2</f>
        <v>#DIV/0!</v>
      </c>
      <c r="I83" s="154" t="e">
        <f>I82/2</f>
        <v>#DIV/0!</v>
      </c>
      <c r="J83" s="154" t="e">
        <f>J82/2</f>
        <v>#DIV/0!</v>
      </c>
      <c r="K83" s="167" t="s">
        <v>153</v>
      </c>
    </row>
    <row r="84" spans="1:11" ht="14.4" customHeight="1" thickBot="1" x14ac:dyDescent="0.3">
      <c r="A84" s="108" t="s">
        <v>162</v>
      </c>
      <c r="B84" s="194" t="e">
        <f t="shared" ref="B84:J84" si="23">IF((((($B$72-((SUM($B$16,$B$18,$B$20,$B$22)*0.155)*$B$71))/$B$71)*B$81)/$B$67)&gt;3500,3500,(((($B$72-((SUM($B$16,$B$18,$B$20,$B$22)*0.155)*$B$71))/$B$71)*B$81)/$B$67))</f>
        <v>#DIV/0!</v>
      </c>
      <c r="C84" s="194" t="e">
        <f t="shared" si="23"/>
        <v>#DIV/0!</v>
      </c>
      <c r="D84" s="194" t="e">
        <f t="shared" si="23"/>
        <v>#DIV/0!</v>
      </c>
      <c r="E84" s="194" t="e">
        <f t="shared" si="23"/>
        <v>#DIV/0!</v>
      </c>
      <c r="F84" s="194" t="e">
        <f t="shared" si="23"/>
        <v>#DIV/0!</v>
      </c>
      <c r="G84" s="194" t="e">
        <f t="shared" si="23"/>
        <v>#DIV/0!</v>
      </c>
      <c r="H84" s="194" t="e">
        <f t="shared" si="23"/>
        <v>#DIV/0!</v>
      </c>
      <c r="I84" s="194" t="e">
        <f t="shared" si="23"/>
        <v>#DIV/0!</v>
      </c>
      <c r="J84" s="194" t="e">
        <f t="shared" si="23"/>
        <v>#DIV/0!</v>
      </c>
      <c r="K84" s="108" t="s">
        <v>152</v>
      </c>
    </row>
    <row r="85" spans="1:11" ht="14.4" customHeight="1" thickBot="1" x14ac:dyDescent="0.3">
      <c r="A85" s="17"/>
      <c r="E85" s="32"/>
    </row>
    <row r="86" spans="1:11" ht="14.4" customHeight="1" thickBot="1" x14ac:dyDescent="0.3">
      <c r="A86" s="8" t="s">
        <v>163</v>
      </c>
      <c r="B86" s="147"/>
      <c r="C86" s="147"/>
      <c r="D86" s="148"/>
      <c r="E86" s="32"/>
    </row>
    <row r="87" spans="1:11" ht="14.4" customHeight="1" x14ac:dyDescent="0.25">
      <c r="A87" s="158" t="s">
        <v>164</v>
      </c>
      <c r="B87" s="52">
        <f>$B$8</f>
        <v>1.5</v>
      </c>
      <c r="C87" s="52"/>
      <c r="D87" s="114" t="s">
        <v>131</v>
      </c>
      <c r="E87" s="32"/>
      <c r="H87" s="150" t="str">
        <f>IF(B87&lt;0.5,"Error: The Minimum Cable Seccion in the Loop is 0,5 mm2","")</f>
        <v/>
      </c>
    </row>
    <row r="88" spans="1:11" ht="14.4" customHeight="1" x14ac:dyDescent="0.25">
      <c r="A88" s="39" t="s">
        <v>165</v>
      </c>
      <c r="B88" s="60">
        <f>$B$9</f>
        <v>2000</v>
      </c>
      <c r="C88" s="60"/>
      <c r="D88" s="109" t="s">
        <v>131</v>
      </c>
      <c r="E88" s="32"/>
      <c r="H88" s="150" t="str">
        <f>IF(B88&gt;3500,"Error: The Maximum Lenght in the Line is 3500 meters","")</f>
        <v/>
      </c>
    </row>
    <row r="89" spans="1:11" ht="14.4" customHeight="1" x14ac:dyDescent="0.25">
      <c r="A89" s="39" t="s">
        <v>166</v>
      </c>
      <c r="B89" s="156">
        <f>((($B$67*B88)/B87)*2)+(SUM(B16,B18,B20,B22,)*0.155)</f>
        <v>45.866666666666667</v>
      </c>
      <c r="C89" s="60"/>
      <c r="D89" s="123" t="s">
        <v>153</v>
      </c>
      <c r="E89" s="32"/>
    </row>
    <row r="90" spans="1:11" ht="14.4" customHeight="1" thickBot="1" x14ac:dyDescent="0.3">
      <c r="A90" s="140" t="s">
        <v>167</v>
      </c>
      <c r="B90" s="155">
        <f>B89/2</f>
        <v>22.933333333333334</v>
      </c>
      <c r="C90" s="124"/>
      <c r="D90" s="125" t="s">
        <v>153</v>
      </c>
      <c r="E90" s="32"/>
    </row>
    <row r="91" spans="1:11" ht="14.4" customHeight="1" thickBot="1" x14ac:dyDescent="0.3">
      <c r="A91" s="170" t="s">
        <v>168</v>
      </c>
      <c r="B91" s="172">
        <f>$B$72/$B$90</f>
        <v>0.30087209302325585</v>
      </c>
      <c r="C91" s="171"/>
      <c r="D91" s="173" t="s">
        <v>9</v>
      </c>
      <c r="E91" s="32"/>
    </row>
    <row r="92" spans="1:11" ht="14.4" customHeight="1" thickBot="1" x14ac:dyDescent="0.3">
      <c r="A92" s="160" t="s">
        <v>134</v>
      </c>
      <c r="B92" s="147"/>
      <c r="C92" s="147"/>
      <c r="D92" s="148"/>
      <c r="E92" s="32"/>
    </row>
    <row r="93" spans="1:11" ht="14.4" customHeight="1" thickBot="1" x14ac:dyDescent="0.3">
      <c r="A93" s="160" t="s">
        <v>135</v>
      </c>
      <c r="B93" s="148"/>
      <c r="C93" s="11"/>
      <c r="D93" s="159" t="str">
        <f>IF($B$71&gt;0.4,"FAIL",IF($B$91&gt;=$B$71,"OK","FAIL"))</f>
        <v>OK</v>
      </c>
      <c r="E93" s="32"/>
      <c r="H93" s="150" t="str">
        <f>IF($B$71&gt;0.4,"Error: The Loop Current is upper that Maximum Current allowed",IF($B$91&lt;$B$71,"Error: The Loop Current is upper that Maximum Current allowed",""))</f>
        <v/>
      </c>
    </row>
    <row r="94" spans="1:11" ht="14.4" customHeight="1" thickBot="1" x14ac:dyDescent="0.3">
      <c r="A94" s="160" t="s">
        <v>136</v>
      </c>
      <c r="B94" s="148"/>
      <c r="C94" s="136"/>
      <c r="D94" s="157" t="str">
        <f>IF($L$63&lt;=250,"OK","FAIL")</f>
        <v>OK</v>
      </c>
      <c r="E94" s="32"/>
      <c r="H94" s="150" t="str">
        <f>IF($L$63&gt;250,"Error: The Loop cannot contain more than 250 addresses","")</f>
        <v/>
      </c>
    </row>
    <row r="95" spans="1:11" ht="14.4" customHeight="1" x14ac:dyDescent="0.25">
      <c r="A95" s="17"/>
      <c r="E95" s="32"/>
    </row>
    <row r="97" spans="1:12" ht="27" customHeight="1" x14ac:dyDescent="0.25">
      <c r="A97" s="238" t="s">
        <v>13</v>
      </c>
      <c r="B97" s="238"/>
      <c r="C97" s="238"/>
      <c r="D97" s="238"/>
      <c r="E97" s="238"/>
      <c r="F97" s="238"/>
      <c r="G97" s="238"/>
      <c r="H97" s="238"/>
      <c r="I97" s="238"/>
      <c r="J97" s="238"/>
      <c r="K97" s="238"/>
      <c r="L97" s="238"/>
    </row>
  </sheetData>
  <sheetProtection algorithmName="SHA-512" hashValue="clk30JvWiTGoyaWIJOxn/gb4CDnjj5I3c4hX3FzPBrCi/RLI/tRWiLb8MVxGSX8Ls71uitMgUBDW3olK67ZJjw==" saltValue="wy75VZo0qg6AfzTTRo67Gw==" spinCount="100000" sheet="1" sort="0" autoFilter="0" pivotTables="0"/>
  <mergeCells count="5">
    <mergeCell ref="A97:L97"/>
    <mergeCell ref="J8:K8"/>
    <mergeCell ref="J9:K9"/>
    <mergeCell ref="J7:K7"/>
    <mergeCell ref="G8:I9"/>
  </mergeCells>
  <conditionalFormatting sqref="I43 N39:N42">
    <cfRule type="expression" dxfId="207" priority="36" stopIfTrue="1">
      <formula>$B$38&gt;2</formula>
    </cfRule>
    <cfRule type="expression" dxfId="206" priority="37" stopIfTrue="1">
      <formula>$B$38&lt;3</formula>
    </cfRule>
  </conditionalFormatting>
  <conditionalFormatting sqref="N35:N36">
    <cfRule type="expression" dxfId="205" priority="32" stopIfTrue="1">
      <formula>$B$37&gt;4</formula>
    </cfRule>
    <cfRule type="expression" dxfId="204" priority="33" stopIfTrue="1">
      <formula>$B$37&lt;5</formula>
    </cfRule>
  </conditionalFormatting>
  <conditionalFormatting sqref="N33">
    <cfRule type="expression" dxfId="203" priority="28" stopIfTrue="1">
      <formula>$B$38&gt;2</formula>
    </cfRule>
    <cfRule type="expression" dxfId="202" priority="29" stopIfTrue="1">
      <formula>$B$38&lt;3</formula>
    </cfRule>
  </conditionalFormatting>
  <conditionalFormatting sqref="N34">
    <cfRule type="expression" dxfId="201" priority="26" stopIfTrue="1">
      <formula>$B$38&gt;2</formula>
    </cfRule>
    <cfRule type="expression" dxfId="200" priority="27" stopIfTrue="1">
      <formula>$B$38&lt;3</formula>
    </cfRule>
  </conditionalFormatting>
  <conditionalFormatting sqref="N38">
    <cfRule type="expression" dxfId="199" priority="20" stopIfTrue="1">
      <formula>$B$38&gt;2</formula>
    </cfRule>
    <cfRule type="expression" dxfId="198" priority="21" stopIfTrue="1">
      <formula>$B$38&lt;3</formula>
    </cfRule>
  </conditionalFormatting>
  <conditionalFormatting sqref="N37">
    <cfRule type="expression" dxfId="197" priority="22" stopIfTrue="1">
      <formula>$B$38&gt;2</formula>
    </cfRule>
    <cfRule type="expression" dxfId="196" priority="23" stopIfTrue="1">
      <formula>$B$38&lt;3</formula>
    </cfRule>
  </conditionalFormatting>
  <conditionalFormatting sqref="J15:J45 J52:J62">
    <cfRule type="cellIs" dxfId="195" priority="19" operator="equal">
      <formula>0</formula>
    </cfRule>
  </conditionalFormatting>
  <conditionalFormatting sqref="L9">
    <cfRule type="cellIs" dxfId="194" priority="15" stopIfTrue="1" operator="equal">
      <formula>"FAIL"</formula>
    </cfRule>
  </conditionalFormatting>
  <conditionalFormatting sqref="D93">
    <cfRule type="cellIs" dxfId="193" priority="18" stopIfTrue="1" operator="equal">
      <formula>"FAIL"</formula>
    </cfRule>
  </conditionalFormatting>
  <conditionalFormatting sqref="D94">
    <cfRule type="cellIs" dxfId="192" priority="17" stopIfTrue="1" operator="equal">
      <formula>"FAIL"</formula>
    </cfRule>
  </conditionalFormatting>
  <conditionalFormatting sqref="L8">
    <cfRule type="cellIs" dxfId="191" priority="16" stopIfTrue="1" operator="equal">
      <formula>"FAIL"</formula>
    </cfRule>
  </conditionalFormatting>
  <conditionalFormatting sqref="B76:J77">
    <cfRule type="containsErrors" dxfId="190" priority="14">
      <formula>ISERROR(B76)</formula>
    </cfRule>
  </conditionalFormatting>
  <conditionalFormatting sqref="B82:J83">
    <cfRule type="containsErrors" dxfId="189" priority="13">
      <formula>ISERROR(B82)</formula>
    </cfRule>
  </conditionalFormatting>
  <conditionalFormatting sqref="B78">
    <cfRule type="containsErrors" dxfId="188" priority="41">
      <formula>ISERROR(B78)</formula>
    </cfRule>
  </conditionalFormatting>
  <conditionalFormatting sqref="D78:J78">
    <cfRule type="containsErrors" dxfId="187" priority="6">
      <formula>ISERROR(D78)</formula>
    </cfRule>
  </conditionalFormatting>
  <conditionalFormatting sqref="B84">
    <cfRule type="containsErrors" dxfId="186" priority="5">
      <formula>ISERROR(B84)</formula>
    </cfRule>
  </conditionalFormatting>
  <conditionalFormatting sqref="D84:J84">
    <cfRule type="containsErrors" dxfId="185" priority="4">
      <formula>ISERROR(D84)</formula>
    </cfRule>
  </conditionalFormatting>
  <conditionalFormatting sqref="N54">
    <cfRule type="expression" dxfId="184" priority="2" stopIfTrue="1">
      <formula>$B$37&gt;4</formula>
    </cfRule>
    <cfRule type="expression" dxfId="183" priority="3" stopIfTrue="1">
      <formula>$B$37&lt;5</formula>
    </cfRule>
  </conditionalFormatting>
  <conditionalFormatting sqref="J46:J51">
    <cfRule type="cellIs" dxfId="182" priority="1" operator="equal">
      <formula>0</formula>
    </cfRule>
  </conditionalFormatting>
  <pageMargins left="0.78740157480314965" right="0.39370078740157483" top="0.39370078740157483" bottom="0.39370078740157483" header="0" footer="0"/>
  <pageSetup paperSize="9" scale="87" orientation="portrait" horizontalDpi="1200" verticalDpi="1200" r:id="rId1"/>
  <headerFooter alignWithMargins="0"/>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5D55514-F2E8-420D-BDEE-D22B74E77BF5}">
          <x14:formula1>
            <xm:f>Datos!$F$16:$F$20</xm:f>
          </x14:formula1>
          <xm:sqref>B8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8DC61-B5A4-4FB3-AF45-63E657812DE3}">
  <sheetPr codeName="Hoja4">
    <pageSetUpPr fitToPage="1"/>
  </sheetPr>
  <dimension ref="A1:N97"/>
  <sheetViews>
    <sheetView zoomScale="120" zoomScaleNormal="120" workbookViewId="0">
      <pane xSplit="12" ySplit="14" topLeftCell="M15" activePane="bottomRight" state="frozen"/>
      <selection activeCell="A64" sqref="A64"/>
      <selection pane="topRight" activeCell="A64" sqref="A64"/>
      <selection pane="bottomLeft" activeCell="A64" sqref="A64"/>
      <selection pane="bottomRight" activeCell="D15" sqref="D15"/>
    </sheetView>
  </sheetViews>
  <sheetFormatPr baseColWidth="10" defaultRowHeight="13.2" x14ac:dyDescent="0.25"/>
  <cols>
    <col min="1" max="1" width="35.109375" customWidth="1"/>
    <col min="2" max="2" width="10.6640625" customWidth="1"/>
    <col min="3" max="3" width="11.109375" hidden="1" customWidth="1"/>
    <col min="4" max="4" width="12.77734375" bestFit="1" customWidth="1"/>
    <col min="5" max="6" width="10.6640625" hidden="1" customWidth="1"/>
    <col min="7" max="7" width="10.5546875" bestFit="1" customWidth="1"/>
    <col min="8" max="8" width="10.6640625" customWidth="1"/>
    <col min="9" max="9" width="5.5546875" bestFit="1" customWidth="1"/>
    <col min="10" max="10" width="7" customWidth="1"/>
    <col min="11" max="11" width="6.44140625" customWidth="1"/>
    <col min="12" max="12" width="6.5546875" customWidth="1"/>
    <col min="14" max="16" width="11.5546875" customWidth="1"/>
  </cols>
  <sheetData>
    <row r="1" spans="1:14" x14ac:dyDescent="0.25">
      <c r="H1" s="1"/>
      <c r="I1" s="2"/>
      <c r="J1" s="2"/>
      <c r="K1" s="2"/>
    </row>
    <row r="2" spans="1:14" x14ac:dyDescent="0.25">
      <c r="H2" s="1"/>
      <c r="I2" s="2"/>
      <c r="J2" s="2"/>
      <c r="K2" s="2"/>
    </row>
    <row r="3" spans="1:14" ht="14.4" x14ac:dyDescent="0.3">
      <c r="A3" s="3"/>
      <c r="H3" s="1"/>
      <c r="I3" s="2"/>
      <c r="J3" s="2"/>
      <c r="K3" s="2"/>
    </row>
    <row r="4" spans="1:14" ht="14.4" x14ac:dyDescent="0.3">
      <c r="A4" s="3"/>
      <c r="H4" s="1"/>
      <c r="I4" s="2"/>
      <c r="J4" s="2"/>
      <c r="K4" s="2"/>
    </row>
    <row r="5" spans="1:14" s="7" customFormat="1" ht="13.8" thickBot="1" x14ac:dyDescent="0.3">
      <c r="A5" s="4" t="str">
        <f>'System Calculation'!A7</f>
        <v>SYSTEM CALCULATOR DETNOV CAD-150 EXCEL TOOL</v>
      </c>
      <c r="B5" s="4"/>
      <c r="C5" s="4"/>
      <c r="D5" s="4"/>
      <c r="E5" s="4"/>
      <c r="F5" s="4"/>
      <c r="G5" s="4"/>
      <c r="H5" s="6"/>
      <c r="I5" s="5"/>
      <c r="J5" s="5"/>
      <c r="K5" s="5"/>
      <c r="L5" s="16" t="str">
        <f>'System Calculation'!J7</f>
        <v>SC 116 en 2019 f</v>
      </c>
    </row>
    <row r="6" spans="1:14" s="7" customFormat="1" ht="13.8" thickBot="1" x14ac:dyDescent="0.3">
      <c r="B6" s="29"/>
      <c r="C6" s="29"/>
      <c r="D6" s="29"/>
      <c r="E6" s="29"/>
      <c r="F6" s="29"/>
      <c r="G6" s="29"/>
      <c r="H6" s="36"/>
      <c r="I6" s="37"/>
      <c r="J6" s="37"/>
      <c r="K6" s="37"/>
      <c r="L6" s="38"/>
    </row>
    <row r="7" spans="1:14" s="7" customFormat="1" ht="13.8" thickBot="1" x14ac:dyDescent="0.3">
      <c r="A7" s="19" t="s">
        <v>62</v>
      </c>
      <c r="B7" s="115"/>
      <c r="C7" s="115"/>
      <c r="D7" s="116"/>
      <c r="E7" s="29"/>
      <c r="F7" s="29"/>
      <c r="G7" s="29"/>
      <c r="H7" s="36"/>
      <c r="J7" s="239" t="s">
        <v>134</v>
      </c>
      <c r="K7" s="243"/>
      <c r="L7" s="135"/>
      <c r="M7" s="38"/>
    </row>
    <row r="8" spans="1:14" s="7" customFormat="1" ht="13.8" thickBot="1" x14ac:dyDescent="0.3">
      <c r="A8" s="111" t="s">
        <v>129</v>
      </c>
      <c r="B8" s="117">
        <v>1.5</v>
      </c>
      <c r="C8" s="113"/>
      <c r="D8" s="114" t="s">
        <v>131</v>
      </c>
      <c r="E8" s="29"/>
      <c r="F8" s="29"/>
      <c r="G8" s="244" t="str">
        <f>IF(B9&gt;3500,"Error: The Maximum Lenght in the Line is 3500 m","")</f>
        <v/>
      </c>
      <c r="H8" s="244"/>
      <c r="I8" s="245"/>
      <c r="J8" s="239" t="s">
        <v>135</v>
      </c>
      <c r="K8" s="240"/>
      <c r="L8" s="159" t="str">
        <f>IF($B$71&gt;0.4,"FAIL",IF($B$91&gt;=$B$71,"OK","FAIL"))</f>
        <v>OK</v>
      </c>
      <c r="N8" s="150" t="str">
        <f>IF($B$71&gt;0.4,"Error: The Loop Current is upper that Maximum Current allowed",IF($B$91&lt;$B$71,"Error: The Loop Current is upper that Maximum Current allowed",""))</f>
        <v/>
      </c>
    </row>
    <row r="9" spans="1:14" s="7" customFormat="1" ht="13.8" thickBot="1" x14ac:dyDescent="0.3">
      <c r="A9" s="26" t="s">
        <v>130</v>
      </c>
      <c r="B9" s="118">
        <v>2000</v>
      </c>
      <c r="C9" s="110"/>
      <c r="D9" s="34" t="s">
        <v>132</v>
      </c>
      <c r="E9" s="29"/>
      <c r="F9" s="29"/>
      <c r="G9" s="244"/>
      <c r="H9" s="244"/>
      <c r="I9" s="245"/>
      <c r="J9" s="241" t="s">
        <v>136</v>
      </c>
      <c r="K9" s="242"/>
      <c r="L9" s="157" t="str">
        <f>IF($L$63&lt;=250,"OK","FAIL")</f>
        <v>OK</v>
      </c>
      <c r="N9" s="150" t="str">
        <f>IF($L$63&gt;250,"Error: The Loop cannot contain more than 250 addresses","")</f>
        <v/>
      </c>
    </row>
    <row r="10" spans="1:14" s="7" customFormat="1" x14ac:dyDescent="0.25">
      <c r="A10" s="149" t="s">
        <v>150</v>
      </c>
      <c r="B10" s="29"/>
      <c r="C10" s="29"/>
      <c r="D10" s="29"/>
      <c r="E10" s="29"/>
      <c r="F10" s="29"/>
      <c r="G10" s="29"/>
      <c r="H10" s="36"/>
      <c r="I10" s="37"/>
      <c r="J10" s="37"/>
      <c r="K10" s="37"/>
      <c r="L10" s="38"/>
    </row>
    <row r="11" spans="1:14" s="7" customFormat="1" x14ac:dyDescent="0.25">
      <c r="A11" s="149"/>
      <c r="B11" s="29"/>
      <c r="C11" s="29"/>
      <c r="D11" s="29"/>
      <c r="E11" s="29"/>
      <c r="F11" s="29"/>
      <c r="G11" s="29"/>
      <c r="H11" s="36"/>
      <c r="I11" s="37"/>
      <c r="J11" s="37"/>
      <c r="K11" s="37"/>
      <c r="L11" s="38"/>
    </row>
    <row r="12" spans="1:14" ht="13.8" thickBot="1" x14ac:dyDescent="0.3">
      <c r="B12" s="40" t="s">
        <v>10</v>
      </c>
      <c r="C12" s="15" t="s">
        <v>10</v>
      </c>
    </row>
    <row r="13" spans="1:14" ht="13.8" thickBot="1" x14ac:dyDescent="0.3">
      <c r="A13" s="8" t="s">
        <v>173</v>
      </c>
      <c r="B13" s="9"/>
      <c r="C13" s="9"/>
      <c r="D13" s="9"/>
      <c r="E13" s="9"/>
      <c r="F13" s="9"/>
      <c r="G13" s="9"/>
      <c r="H13" s="147"/>
      <c r="I13" s="147"/>
      <c r="J13" s="147"/>
      <c r="K13" s="147"/>
      <c r="L13" s="148"/>
    </row>
    <row r="14" spans="1:14" s="7" customFormat="1" ht="13.8" thickBot="1" x14ac:dyDescent="0.3">
      <c r="A14" s="143" t="s">
        <v>0</v>
      </c>
      <c r="B14" s="144" t="s">
        <v>1</v>
      </c>
      <c r="C14" s="144" t="s">
        <v>38</v>
      </c>
      <c r="D14" s="144" t="s">
        <v>38</v>
      </c>
      <c r="E14" s="144" t="s">
        <v>110</v>
      </c>
      <c r="F14" s="144" t="s">
        <v>39</v>
      </c>
      <c r="G14" s="144" t="s">
        <v>39</v>
      </c>
      <c r="H14" s="145" t="s">
        <v>133</v>
      </c>
      <c r="I14" s="145" t="s">
        <v>146</v>
      </c>
      <c r="J14" s="145" t="s">
        <v>147</v>
      </c>
      <c r="K14" s="145" t="s">
        <v>148</v>
      </c>
      <c r="L14" s="146" t="s">
        <v>149</v>
      </c>
    </row>
    <row r="15" spans="1:14" x14ac:dyDescent="0.25">
      <c r="A15" s="132" t="str">
        <f>'SC_Loop 1'!A15</f>
        <v>DOD-220A</v>
      </c>
      <c r="B15" s="112"/>
      <c r="C15" s="198">
        <f>'SC_Loop 1'!C15</f>
        <v>2.9999999999999997E-4</v>
      </c>
      <c r="D15" s="133">
        <f>B15*C15</f>
        <v>0</v>
      </c>
      <c r="E15" s="234">
        <f>IF(B15&gt;10,10,B15)</f>
        <v>0</v>
      </c>
      <c r="F15" s="198">
        <f>'SC_Loop 1'!F15</f>
        <v>3.0000000000000001E-3</v>
      </c>
      <c r="G15" s="133">
        <f>E15*F15</f>
        <v>0</v>
      </c>
      <c r="H15" s="52"/>
      <c r="I15" s="52" t="str">
        <f t="shared" ref="I15:I26" si="0">IF(B15&lt;&gt;0,B15," ")</f>
        <v xml:space="preserve"> </v>
      </c>
      <c r="J15" s="52"/>
      <c r="K15" s="52"/>
      <c r="L15" s="134" t="str">
        <f>IF(I15&lt;&gt;0,I15," ")</f>
        <v xml:space="preserve"> </v>
      </c>
    </row>
    <row r="16" spans="1:14" x14ac:dyDescent="0.25">
      <c r="A16" s="22" t="str">
        <f>'SC_Loop 1'!A16</f>
        <v>DOD-220A-I</v>
      </c>
      <c r="B16" s="23"/>
      <c r="C16" s="24">
        <f>'SC_Loop 1'!C16</f>
        <v>2.9999999999999997E-4</v>
      </c>
      <c r="D16" s="68">
        <f>B16*C16</f>
        <v>0</v>
      </c>
      <c r="E16" s="234">
        <f t="shared" ref="E16:E22" si="1">IF(B16&gt;10,10,B16)</f>
        <v>0</v>
      </c>
      <c r="F16" s="24">
        <f>'SC_Loop 1'!F16</f>
        <v>3.0000000000000001E-3</v>
      </c>
      <c r="G16" s="68">
        <f>E16*F16</f>
        <v>0</v>
      </c>
      <c r="H16" s="60"/>
      <c r="I16" s="60" t="str">
        <f t="shared" si="0"/>
        <v xml:space="preserve"> </v>
      </c>
      <c r="J16" s="60"/>
      <c r="K16" s="60"/>
      <c r="L16" s="123" t="str">
        <f t="shared" ref="L16:L26" si="2">IF(I16&lt;&gt;0,I16," ")</f>
        <v xml:space="preserve"> </v>
      </c>
    </row>
    <row r="17" spans="1:12" x14ac:dyDescent="0.25">
      <c r="A17" s="22" t="str">
        <f>'SC_Loop 1'!A17</f>
        <v>DOTD-230A</v>
      </c>
      <c r="B17" s="23"/>
      <c r="C17" s="24">
        <f>'SC_Loop 1'!C17</f>
        <v>2.9999999999999997E-4</v>
      </c>
      <c r="D17" s="68">
        <f t="shared" ref="D17:D62" si="3">B17*C17</f>
        <v>0</v>
      </c>
      <c r="E17" s="234">
        <f t="shared" si="1"/>
        <v>0</v>
      </c>
      <c r="F17" s="24">
        <f>'SC_Loop 1'!F17</f>
        <v>3.0000000000000001E-3</v>
      </c>
      <c r="G17" s="68">
        <f t="shared" ref="G17:G62" si="4">E17*F17</f>
        <v>0</v>
      </c>
      <c r="H17" s="60"/>
      <c r="I17" s="60" t="str">
        <f t="shared" si="0"/>
        <v xml:space="preserve"> </v>
      </c>
      <c r="J17" s="60"/>
      <c r="K17" s="60"/>
      <c r="L17" s="123" t="str">
        <f t="shared" si="2"/>
        <v xml:space="preserve"> </v>
      </c>
    </row>
    <row r="18" spans="1:12" x14ac:dyDescent="0.25">
      <c r="A18" s="22" t="str">
        <f>'SC_Loop 1'!A18</f>
        <v>DOTD-230A-I</v>
      </c>
      <c r="B18" s="23"/>
      <c r="C18" s="24">
        <f>'SC_Loop 1'!C18</f>
        <v>2.9999999999999997E-4</v>
      </c>
      <c r="D18" s="68">
        <f t="shared" si="3"/>
        <v>0</v>
      </c>
      <c r="E18" s="234">
        <f t="shared" si="1"/>
        <v>0</v>
      </c>
      <c r="F18" s="24">
        <f>'SC_Loop 1'!F18</f>
        <v>3.0000000000000001E-3</v>
      </c>
      <c r="G18" s="68">
        <f t="shared" si="4"/>
        <v>0</v>
      </c>
      <c r="H18" s="60"/>
      <c r="I18" s="60" t="str">
        <f t="shared" si="0"/>
        <v xml:space="preserve"> </v>
      </c>
      <c r="J18" s="60"/>
      <c r="K18" s="60"/>
      <c r="L18" s="123" t="str">
        <f t="shared" si="2"/>
        <v xml:space="preserve"> </v>
      </c>
    </row>
    <row r="19" spans="1:12" x14ac:dyDescent="0.25">
      <c r="A19" s="22" t="str">
        <f>'SC_Loop 1'!A19</f>
        <v>DTD-210A</v>
      </c>
      <c r="B19" s="23"/>
      <c r="C19" s="24">
        <f>'SC_Loop 1'!C19</f>
        <v>2.9999999999999997E-4</v>
      </c>
      <c r="D19" s="68">
        <f t="shared" si="3"/>
        <v>0</v>
      </c>
      <c r="E19" s="234">
        <f t="shared" si="1"/>
        <v>0</v>
      </c>
      <c r="F19" s="24">
        <f>'SC_Loop 1'!F19</f>
        <v>3.0000000000000001E-3</v>
      </c>
      <c r="G19" s="68">
        <f t="shared" si="4"/>
        <v>0</v>
      </c>
      <c r="H19" s="60"/>
      <c r="I19" s="60" t="str">
        <f t="shared" si="0"/>
        <v xml:space="preserve"> </v>
      </c>
      <c r="J19" s="60"/>
      <c r="K19" s="60"/>
      <c r="L19" s="123" t="str">
        <f t="shared" si="2"/>
        <v xml:space="preserve"> </v>
      </c>
    </row>
    <row r="20" spans="1:12" x14ac:dyDescent="0.25">
      <c r="A20" s="22" t="str">
        <f>'SC_Loop 1'!A20</f>
        <v>DTD-210A-I</v>
      </c>
      <c r="B20" s="23"/>
      <c r="C20" s="24">
        <f>'SC_Loop 1'!C20</f>
        <v>2.9999999999999997E-4</v>
      </c>
      <c r="D20" s="68">
        <f t="shared" si="3"/>
        <v>0</v>
      </c>
      <c r="E20" s="234">
        <f t="shared" si="1"/>
        <v>0</v>
      </c>
      <c r="F20" s="24">
        <f>'SC_Loop 1'!F20</f>
        <v>3.0000000000000001E-3</v>
      </c>
      <c r="G20" s="68">
        <f t="shared" si="4"/>
        <v>0</v>
      </c>
      <c r="H20" s="60"/>
      <c r="I20" s="60" t="str">
        <f t="shared" si="0"/>
        <v xml:space="preserve"> </v>
      </c>
      <c r="J20" s="60"/>
      <c r="K20" s="60"/>
      <c r="L20" s="123" t="str">
        <f t="shared" si="2"/>
        <v xml:space="preserve"> </v>
      </c>
    </row>
    <row r="21" spans="1:12" x14ac:dyDescent="0.25">
      <c r="A21" s="22" t="str">
        <f>'SC_Loop 1'!A21</f>
        <v>DTD-215A</v>
      </c>
      <c r="B21" s="23"/>
      <c r="C21" s="24">
        <f>'SC_Loop 1'!C21</f>
        <v>2.9999999999999997E-4</v>
      </c>
      <c r="D21" s="68">
        <f t="shared" si="3"/>
        <v>0</v>
      </c>
      <c r="E21" s="234">
        <f t="shared" si="1"/>
        <v>0</v>
      </c>
      <c r="F21" s="24">
        <f>'SC_Loop 1'!F21</f>
        <v>3.0000000000000001E-3</v>
      </c>
      <c r="G21" s="68">
        <f t="shared" si="4"/>
        <v>0</v>
      </c>
      <c r="H21" s="60"/>
      <c r="I21" s="60" t="str">
        <f t="shared" si="0"/>
        <v xml:space="preserve"> </v>
      </c>
      <c r="J21" s="60"/>
      <c r="K21" s="60"/>
      <c r="L21" s="123" t="str">
        <f t="shared" si="2"/>
        <v xml:space="preserve"> </v>
      </c>
    </row>
    <row r="22" spans="1:12" x14ac:dyDescent="0.25">
      <c r="A22" s="22" t="str">
        <f>'SC_Loop 1'!A22</f>
        <v>DTD-215A-I</v>
      </c>
      <c r="B22" s="23"/>
      <c r="C22" s="24">
        <f>'SC_Loop 1'!C22</f>
        <v>2.9999999999999997E-4</v>
      </c>
      <c r="D22" s="68">
        <f t="shared" si="3"/>
        <v>0</v>
      </c>
      <c r="E22" s="234">
        <f t="shared" si="1"/>
        <v>0</v>
      </c>
      <c r="F22" s="24">
        <f>'SC_Loop 1'!F22</f>
        <v>3.0000000000000001E-3</v>
      </c>
      <c r="G22" s="68">
        <f t="shared" si="4"/>
        <v>0</v>
      </c>
      <c r="H22" s="60"/>
      <c r="I22" s="60" t="str">
        <f t="shared" si="0"/>
        <v xml:space="preserve"> </v>
      </c>
      <c r="J22" s="60"/>
      <c r="K22" s="60"/>
      <c r="L22" s="123" t="str">
        <f t="shared" si="2"/>
        <v xml:space="preserve"> </v>
      </c>
    </row>
    <row r="23" spans="1:12" x14ac:dyDescent="0.25">
      <c r="A23" s="22" t="str">
        <f>'SC_Loop 1'!A23</f>
        <v>DGD-600</v>
      </c>
      <c r="B23" s="23"/>
      <c r="C23" s="24">
        <f>'SC_Loop 1'!C23</f>
        <v>9.1E-4</v>
      </c>
      <c r="D23" s="68">
        <f t="shared" si="3"/>
        <v>0</v>
      </c>
      <c r="E23" s="234">
        <f>IF(B23&gt;10,10,B23)</f>
        <v>0</v>
      </c>
      <c r="F23" s="24">
        <f>'SC_Loop 1'!F23</f>
        <v>1.1000000000000001E-3</v>
      </c>
      <c r="G23" s="68">
        <f t="shared" si="4"/>
        <v>0</v>
      </c>
      <c r="H23" s="60"/>
      <c r="I23" s="60" t="str">
        <f t="shared" si="0"/>
        <v xml:space="preserve"> </v>
      </c>
      <c r="J23" s="60"/>
      <c r="K23" s="60"/>
      <c r="L23" s="123" t="str">
        <f t="shared" si="2"/>
        <v xml:space="preserve"> </v>
      </c>
    </row>
    <row r="24" spans="1:12" x14ac:dyDescent="0.25">
      <c r="A24" s="22" t="str">
        <f>'SC_Loop 1'!A24</f>
        <v>DGD-600-AC</v>
      </c>
      <c r="B24" s="23"/>
      <c r="C24" s="24">
        <f>'SC_Loop 1'!C24</f>
        <v>9.1E-4</v>
      </c>
      <c r="D24" s="68">
        <f t="shared" si="3"/>
        <v>0</v>
      </c>
      <c r="E24" s="234">
        <f t="shared" ref="E24:E26" si="5">IF(B24&gt;10,10,B24)</f>
        <v>0</v>
      </c>
      <c r="F24" s="24">
        <f>'SC_Loop 1'!F24</f>
        <v>1.1000000000000001E-3</v>
      </c>
      <c r="G24" s="68">
        <f t="shared" si="4"/>
        <v>0</v>
      </c>
      <c r="H24" s="60"/>
      <c r="I24" s="60" t="str">
        <f t="shared" si="0"/>
        <v xml:space="preserve"> </v>
      </c>
      <c r="J24" s="60"/>
      <c r="K24" s="60"/>
      <c r="L24" s="123" t="str">
        <f t="shared" si="2"/>
        <v xml:space="preserve"> </v>
      </c>
    </row>
    <row r="25" spans="1:12" x14ac:dyDescent="0.25">
      <c r="A25" s="22" t="str">
        <f>'SC_Loop 1'!A25</f>
        <v>DGD-620</v>
      </c>
      <c r="B25" s="23"/>
      <c r="C25" s="24">
        <f>'SC_Loop 1'!C25</f>
        <v>9.1E-4</v>
      </c>
      <c r="D25" s="68">
        <f t="shared" si="3"/>
        <v>0</v>
      </c>
      <c r="E25" s="234">
        <f t="shared" si="5"/>
        <v>0</v>
      </c>
      <c r="F25" s="24">
        <f>'SC_Loop 1'!F25</f>
        <v>1.1000000000000001E-3</v>
      </c>
      <c r="G25" s="68">
        <f t="shared" si="4"/>
        <v>0</v>
      </c>
      <c r="H25" s="60"/>
      <c r="I25" s="60" t="str">
        <f t="shared" si="0"/>
        <v xml:space="preserve"> </v>
      </c>
      <c r="J25" s="60"/>
      <c r="K25" s="60"/>
      <c r="L25" s="123" t="str">
        <f t="shared" si="2"/>
        <v xml:space="preserve"> </v>
      </c>
    </row>
    <row r="26" spans="1:12" x14ac:dyDescent="0.25">
      <c r="A26" s="22" t="str">
        <f>'SC_Loop 1'!A26</f>
        <v>DGD-620-AC</v>
      </c>
      <c r="B26" s="23"/>
      <c r="C26" s="24">
        <f>'SC_Loop 1'!C26</f>
        <v>9.1E-4</v>
      </c>
      <c r="D26" s="68">
        <f t="shared" si="3"/>
        <v>0</v>
      </c>
      <c r="E26" s="234">
        <f t="shared" si="5"/>
        <v>0</v>
      </c>
      <c r="F26" s="24">
        <f>'SC_Loop 1'!F26</f>
        <v>1.1000000000000001E-3</v>
      </c>
      <c r="G26" s="68">
        <f t="shared" si="4"/>
        <v>0</v>
      </c>
      <c r="H26" s="60"/>
      <c r="I26" s="60" t="str">
        <f t="shared" si="0"/>
        <v xml:space="preserve"> </v>
      </c>
      <c r="J26" s="60"/>
      <c r="K26" s="60"/>
      <c r="L26" s="123" t="str">
        <f t="shared" si="2"/>
        <v xml:space="preserve"> </v>
      </c>
    </row>
    <row r="27" spans="1:12" x14ac:dyDescent="0.25">
      <c r="A27" s="22" t="str">
        <f>'SC_Loop 1'!A27</f>
        <v>MAD-401 &amp; MAD-401-I</v>
      </c>
      <c r="B27" s="23"/>
      <c r="C27" s="24">
        <f>'SC_Loop 1'!C27</f>
        <v>2.9999999999999997E-4</v>
      </c>
      <c r="D27" s="68">
        <f t="shared" si="3"/>
        <v>0</v>
      </c>
      <c r="E27" s="233">
        <f>B27*'System Calculation'!$I$14</f>
        <v>0</v>
      </c>
      <c r="F27" s="24">
        <f>'SC_Loop 1'!F27</f>
        <v>3.0000000000000001E-3</v>
      </c>
      <c r="G27" s="68">
        <f t="shared" si="4"/>
        <v>0</v>
      </c>
      <c r="H27" s="60"/>
      <c r="I27" s="60"/>
      <c r="J27" s="60" t="str">
        <f>IF(B27&lt;&gt;0,B27," ")</f>
        <v xml:space="preserve"> </v>
      </c>
      <c r="K27" s="60"/>
      <c r="L27" s="123" t="str">
        <f>IF(J27&lt;&gt;0,J27," ")</f>
        <v xml:space="preserve"> </v>
      </c>
    </row>
    <row r="28" spans="1:12" x14ac:dyDescent="0.25">
      <c r="A28" s="22" t="str">
        <f>'SC_Loop 1'!A28</f>
        <v>MAD-402 &amp; MAD-402-I</v>
      </c>
      <c r="B28" s="23"/>
      <c r="C28" s="24">
        <f>'SC_Loop 1'!C28</f>
        <v>2.9999999999999997E-4</v>
      </c>
      <c r="D28" s="68">
        <f t="shared" si="3"/>
        <v>0</v>
      </c>
      <c r="E28" s="233">
        <f>B28*'System Calculation'!$I$14</f>
        <v>0</v>
      </c>
      <c r="F28" s="24">
        <f>'SC_Loop 1'!F28</f>
        <v>3.0000000000000001E-3</v>
      </c>
      <c r="G28" s="68">
        <f t="shared" si="4"/>
        <v>0</v>
      </c>
      <c r="H28" s="60"/>
      <c r="I28" s="60"/>
      <c r="J28" s="60">
        <f>IF(B28&lt;&gt;0,B28,0)</f>
        <v>0</v>
      </c>
      <c r="K28" s="60"/>
      <c r="L28" s="123" t="str">
        <f>IF(J28&lt;&gt;0,2*J28," ")</f>
        <v xml:space="preserve"> </v>
      </c>
    </row>
    <row r="29" spans="1:12" x14ac:dyDescent="0.25">
      <c r="A29" s="22" t="str">
        <f>'SC_Loop 1'!A29</f>
        <v>MAD-405-I</v>
      </c>
      <c r="B29" s="23"/>
      <c r="C29" s="24">
        <f>'SC_Loop 1'!C29</f>
        <v>2.9999999999999997E-4</v>
      </c>
      <c r="D29" s="68">
        <f t="shared" si="3"/>
        <v>0</v>
      </c>
      <c r="E29" s="233">
        <f>B29*'System Calculation'!$I$14</f>
        <v>0</v>
      </c>
      <c r="F29" s="24">
        <f>'SC_Loop 1'!F29</f>
        <v>3.0000000000000001E-3</v>
      </c>
      <c r="G29" s="68">
        <f t="shared" si="4"/>
        <v>0</v>
      </c>
      <c r="H29" s="60"/>
      <c r="I29" s="60"/>
      <c r="J29" s="60">
        <f>IF(B29&lt;&gt;0,B29,0)</f>
        <v>0</v>
      </c>
      <c r="K29" s="60"/>
      <c r="L29" s="123" t="str">
        <f>IF(J29&lt;&gt;0,5*J29," ")</f>
        <v xml:space="preserve"> </v>
      </c>
    </row>
    <row r="30" spans="1:12" x14ac:dyDescent="0.25">
      <c r="A30" s="22" t="str">
        <f>'SC_Loop 1'!A30</f>
        <v>MAD-409-I</v>
      </c>
      <c r="B30" s="23"/>
      <c r="C30" s="24">
        <f>'SC_Loop 1'!C30</f>
        <v>2.9999999999999997E-4</v>
      </c>
      <c r="D30" s="68">
        <f t="shared" si="3"/>
        <v>0</v>
      </c>
      <c r="E30" s="233">
        <f>B30*'System Calculation'!$I$14</f>
        <v>0</v>
      </c>
      <c r="F30" s="24">
        <f>'SC_Loop 1'!F30</f>
        <v>3.0000000000000001E-3</v>
      </c>
      <c r="G30" s="68">
        <f t="shared" si="4"/>
        <v>0</v>
      </c>
      <c r="H30" s="60"/>
      <c r="I30" s="60"/>
      <c r="J30" s="60">
        <f>IF(B30&lt;&gt;0,B30,0)</f>
        <v>0</v>
      </c>
      <c r="K30" s="60"/>
      <c r="L30" s="123" t="str">
        <f>IF(J30&lt;&gt;0,10*J30," ")</f>
        <v xml:space="preserve"> </v>
      </c>
    </row>
    <row r="31" spans="1:12" x14ac:dyDescent="0.25">
      <c r="A31" s="22" t="str">
        <f>'SC_Loop 1'!A31</f>
        <v>MAD-411 &amp; MAD-411-I</v>
      </c>
      <c r="B31" s="23"/>
      <c r="C31" s="24">
        <f>'SC_Loop 1'!C31</f>
        <v>2.9999999999999997E-4</v>
      </c>
      <c r="D31" s="68">
        <f t="shared" si="3"/>
        <v>0</v>
      </c>
      <c r="E31" s="233">
        <f>B31*'System Calculation'!$I$14</f>
        <v>0</v>
      </c>
      <c r="F31" s="24">
        <f>'SC_Loop 1'!F31</f>
        <v>3.0000000000000001E-3</v>
      </c>
      <c r="G31" s="68">
        <f t="shared" si="4"/>
        <v>0</v>
      </c>
      <c r="H31" s="60"/>
      <c r="I31" s="60"/>
      <c r="J31" s="60" t="str">
        <f>IF(B31&lt;&gt;0,B31," ")</f>
        <v xml:space="preserve"> </v>
      </c>
      <c r="K31" s="60"/>
      <c r="L31" s="123" t="str">
        <f>IF(J31&lt;&gt;0,J31," ")</f>
        <v xml:space="preserve"> </v>
      </c>
    </row>
    <row r="32" spans="1:12" x14ac:dyDescent="0.25">
      <c r="A32" s="22" t="str">
        <f>'SC_Loop 1'!A32</f>
        <v>MAD-412 &amp; MAD-412-I</v>
      </c>
      <c r="B32" s="23"/>
      <c r="C32" s="24">
        <f>'SC_Loop 1'!C32</f>
        <v>2.9999999999999997E-4</v>
      </c>
      <c r="D32" s="68">
        <f t="shared" si="3"/>
        <v>0</v>
      </c>
      <c r="E32" s="233">
        <f>B32*'System Calculation'!$I$14</f>
        <v>0</v>
      </c>
      <c r="F32" s="24">
        <f>'SC_Loop 1'!F32</f>
        <v>3.0000000000000001E-3</v>
      </c>
      <c r="G32" s="68">
        <f t="shared" si="4"/>
        <v>0</v>
      </c>
      <c r="H32" s="60"/>
      <c r="I32" s="60"/>
      <c r="J32" s="60">
        <f t="shared" ref="J32:J38" si="6">IF(B32&lt;&gt;0,B32,0)</f>
        <v>0</v>
      </c>
      <c r="K32" s="60"/>
      <c r="L32" s="123" t="str">
        <f>IF(J32&lt;&gt;0,2*J32," ")</f>
        <v xml:space="preserve"> </v>
      </c>
    </row>
    <row r="33" spans="1:14" x14ac:dyDescent="0.25">
      <c r="A33" s="22" t="str">
        <f>'SC_Loop 1'!A33</f>
        <v>MAD-415-I</v>
      </c>
      <c r="B33" s="23"/>
      <c r="C33" s="24">
        <f>'SC_Loop 1'!C33</f>
        <v>2.9999999999999997E-4</v>
      </c>
      <c r="D33" s="68">
        <f t="shared" si="3"/>
        <v>0</v>
      </c>
      <c r="E33" s="233">
        <f>B33*'System Calculation'!$I$14</f>
        <v>0</v>
      </c>
      <c r="F33" s="24">
        <f>'SC_Loop 1'!F33</f>
        <v>3.0000000000000001E-3</v>
      </c>
      <c r="G33" s="68">
        <f t="shared" si="4"/>
        <v>0</v>
      </c>
      <c r="H33" s="60"/>
      <c r="I33" s="60"/>
      <c r="J33" s="60">
        <f t="shared" si="6"/>
        <v>0</v>
      </c>
      <c r="K33" s="60"/>
      <c r="L33" s="123" t="str">
        <f>IF(J33&lt;&gt;0,5*J33," ")</f>
        <v xml:space="preserve"> </v>
      </c>
      <c r="N33" s="195" t="str">
        <f>IF(AND(B33&gt;0),"Info: External 24V needed. Control Panel could provide from 24Vaux, if 500mA maximum current isn't exceeded."," ")</f>
        <v xml:space="preserve"> </v>
      </c>
    </row>
    <row r="34" spans="1:14" x14ac:dyDescent="0.25">
      <c r="A34" s="22" t="str">
        <f>'SC_Loop 1'!A34</f>
        <v>MAD-419-I</v>
      </c>
      <c r="B34" s="23"/>
      <c r="C34" s="24">
        <f>'SC_Loop 1'!C34</f>
        <v>2.9999999999999997E-4</v>
      </c>
      <c r="D34" s="68">
        <f t="shared" si="3"/>
        <v>0</v>
      </c>
      <c r="E34" s="233">
        <f>B34*'System Calculation'!$I$14</f>
        <v>0</v>
      </c>
      <c r="F34" s="24">
        <f>'SC_Loop 1'!F34</f>
        <v>3.0000000000000001E-3</v>
      </c>
      <c r="G34" s="68">
        <f t="shared" si="4"/>
        <v>0</v>
      </c>
      <c r="H34" s="60"/>
      <c r="I34" s="60"/>
      <c r="J34" s="60">
        <f t="shared" si="6"/>
        <v>0</v>
      </c>
      <c r="K34" s="60"/>
      <c r="L34" s="123" t="str">
        <f>IF(J34&lt;&gt;0,10*J34," ")</f>
        <v xml:space="preserve"> </v>
      </c>
      <c r="N34" s="41" t="str">
        <f>IF(AND(B34&gt;0),"Info: External 24V needed. Control Panel could provide from 24Vaux, if 500mA maximum current isn't exceeded."," ")</f>
        <v xml:space="preserve"> </v>
      </c>
    </row>
    <row r="35" spans="1:14" x14ac:dyDescent="0.25">
      <c r="A35" s="22" t="str">
        <f>'SC_Loop 1'!A35</f>
        <v>MAD-421 &amp; MAD-421-I</v>
      </c>
      <c r="B35" s="23"/>
      <c r="C35" s="24">
        <f>'SC_Loop 1'!C35</f>
        <v>2.9999999999999997E-4</v>
      </c>
      <c r="D35" s="68">
        <f t="shared" si="3"/>
        <v>0</v>
      </c>
      <c r="E35" s="233">
        <f>B35*'System Calculation'!$I$14</f>
        <v>0</v>
      </c>
      <c r="F35" s="24">
        <f>'SC_Loop 1'!F35</f>
        <v>3.0000000000000001E-3</v>
      </c>
      <c r="G35" s="68">
        <f t="shared" si="4"/>
        <v>0</v>
      </c>
      <c r="H35" s="60"/>
      <c r="I35" s="60"/>
      <c r="J35" s="60">
        <f t="shared" si="6"/>
        <v>0</v>
      </c>
      <c r="K35" s="60"/>
      <c r="L35" s="123" t="str">
        <f>IF(J35&lt;&gt;0,2*J35," ")</f>
        <v xml:space="preserve"> </v>
      </c>
      <c r="N35" s="41"/>
    </row>
    <row r="36" spans="1:14" x14ac:dyDescent="0.25">
      <c r="A36" s="22" t="str">
        <f>'SC_Loop 1'!A36</f>
        <v>MAD-422 &amp; MAD-422-I</v>
      </c>
      <c r="B36" s="23"/>
      <c r="C36" s="24">
        <f>'SC_Loop 1'!C36</f>
        <v>2.9999999999999997E-4</v>
      </c>
      <c r="D36" s="68">
        <f t="shared" si="3"/>
        <v>0</v>
      </c>
      <c r="E36" s="233">
        <f>B36*'System Calculation'!$I$14</f>
        <v>0</v>
      </c>
      <c r="F36" s="24">
        <f>'SC_Loop 1'!F36</f>
        <v>3.0000000000000001E-3</v>
      </c>
      <c r="G36" s="68">
        <f t="shared" si="4"/>
        <v>0</v>
      </c>
      <c r="H36" s="60"/>
      <c r="I36" s="60"/>
      <c r="J36" s="60">
        <f t="shared" si="6"/>
        <v>0</v>
      </c>
      <c r="K36" s="60"/>
      <c r="L36" s="123" t="str">
        <f>IF(J36&lt;&gt;0,4*J36," ")</f>
        <v xml:space="preserve"> </v>
      </c>
      <c r="N36" s="41" t="str">
        <f>IF(AND(B36&gt;0,B36&lt;5),CONCATENATE("Info: External 24V needed. Control Panel could provide from 24Vaux, if 500mA maximum current isn't exceeded. Current requested from device(s) = ",D36,"mA."),IF(B36=0," ",IF(OR(B36=5,B36&gt;5),CONCATENATE("Warning: External 24V PSU is mandatory. Current requested from devices = ",D36,"mA.")," ")))</f>
        <v xml:space="preserve"> </v>
      </c>
    </row>
    <row r="37" spans="1:14" x14ac:dyDescent="0.25">
      <c r="A37" s="22" t="str">
        <f>'SC_Loop 1'!A37</f>
        <v>MAD-425-I</v>
      </c>
      <c r="B37" s="23"/>
      <c r="C37" s="24">
        <f>'SC_Loop 1'!C37</f>
        <v>2.9999999999999997E-4</v>
      </c>
      <c r="D37" s="68">
        <f t="shared" si="3"/>
        <v>0</v>
      </c>
      <c r="E37" s="233">
        <f>B37*'System Calculation'!$I$14</f>
        <v>0</v>
      </c>
      <c r="F37" s="24">
        <f>'SC_Loop 1'!F37</f>
        <v>3.0000000000000001E-3</v>
      </c>
      <c r="G37" s="68">
        <f t="shared" si="4"/>
        <v>0</v>
      </c>
      <c r="H37" s="60"/>
      <c r="I37" s="60"/>
      <c r="J37" s="60">
        <f t="shared" si="6"/>
        <v>0</v>
      </c>
      <c r="K37" s="60"/>
      <c r="L37" s="123" t="str">
        <f>IF(J37&lt;&gt;0,10*J37," ")</f>
        <v xml:space="preserve"> </v>
      </c>
      <c r="N37" s="41" t="str">
        <f t="shared" ref="N37:N42" si="7">IF(AND(B37&gt;0),"Info: External 24V needed. Control Panel could provide from 24Vaux, if 500mA maximum current isn't exceeded."," ")</f>
        <v xml:space="preserve"> </v>
      </c>
    </row>
    <row r="38" spans="1:14" x14ac:dyDescent="0.25">
      <c r="A38" s="22" t="str">
        <f>'SC_Loop 1'!A38</f>
        <v>MAD-429-I</v>
      </c>
      <c r="B38" s="23"/>
      <c r="C38" s="24">
        <f>'SC_Loop 1'!C38</f>
        <v>2.9999999999999997E-4</v>
      </c>
      <c r="D38" s="68">
        <f t="shared" si="3"/>
        <v>0</v>
      </c>
      <c r="E38" s="233">
        <f>B38*'System Calculation'!$I$14</f>
        <v>0</v>
      </c>
      <c r="F38" s="24">
        <f>'SC_Loop 1'!F38</f>
        <v>3.0000000000000001E-3</v>
      </c>
      <c r="G38" s="68">
        <f t="shared" si="4"/>
        <v>0</v>
      </c>
      <c r="H38" s="60"/>
      <c r="I38" s="60"/>
      <c r="J38" s="60">
        <f t="shared" si="6"/>
        <v>0</v>
      </c>
      <c r="K38" s="60"/>
      <c r="L38" s="123" t="str">
        <f>IF(J38&lt;&gt;0,20*J38," ")</f>
        <v xml:space="preserve"> </v>
      </c>
      <c r="N38" s="41" t="str">
        <f t="shared" si="7"/>
        <v xml:space="preserve"> </v>
      </c>
    </row>
    <row r="39" spans="1:14" x14ac:dyDescent="0.25">
      <c r="A39" s="22" t="str">
        <f>'SC_Loop 1'!A39</f>
        <v>MAD-431 &amp; MAD-431-I</v>
      </c>
      <c r="B39" s="23"/>
      <c r="C39" s="24">
        <f>'SC_Loop 1'!C39</f>
        <v>2.9999999999999997E-4</v>
      </c>
      <c r="D39" s="68">
        <f t="shared" si="3"/>
        <v>0</v>
      </c>
      <c r="E39" s="233">
        <f>B39*'System Calculation'!$I$14</f>
        <v>0</v>
      </c>
      <c r="F39" s="24">
        <f>'SC_Loop 1'!F39</f>
        <v>3.0000000000000001E-3</v>
      </c>
      <c r="G39" s="68">
        <f t="shared" si="4"/>
        <v>0</v>
      </c>
      <c r="H39" s="60"/>
      <c r="I39" s="60"/>
      <c r="J39" s="60" t="str">
        <f>IF(B39&lt;&gt;0,B39," ")</f>
        <v xml:space="preserve"> </v>
      </c>
      <c r="K39" s="60"/>
      <c r="L39" s="123" t="str">
        <f>IF(J39&lt;&gt;0,J39," ")</f>
        <v xml:space="preserve"> </v>
      </c>
      <c r="N39" s="41" t="str">
        <f t="shared" si="7"/>
        <v xml:space="preserve"> </v>
      </c>
    </row>
    <row r="40" spans="1:14" x14ac:dyDescent="0.25">
      <c r="A40" s="22" t="str">
        <f>'SC_Loop 1'!A40</f>
        <v>MAD-432 &amp; MAD-432-I</v>
      </c>
      <c r="B40" s="23"/>
      <c r="C40" s="24">
        <f>'SC_Loop 1'!C40</f>
        <v>2.9999999999999997E-4</v>
      </c>
      <c r="D40" s="68">
        <f t="shared" si="3"/>
        <v>0</v>
      </c>
      <c r="E40" s="233">
        <f>B40*'System Calculation'!$I$14</f>
        <v>0</v>
      </c>
      <c r="F40" s="24">
        <f>'SC_Loop 1'!F40</f>
        <v>3.0000000000000001E-3</v>
      </c>
      <c r="G40" s="68">
        <f t="shared" si="4"/>
        <v>0</v>
      </c>
      <c r="H40" s="60"/>
      <c r="I40" s="60"/>
      <c r="J40" s="60">
        <f>IF(B40&lt;&gt;0,B40,0)</f>
        <v>0</v>
      </c>
      <c r="K40" s="60"/>
      <c r="L40" s="123" t="str">
        <f>IF(J40&lt;&gt;0,2*J40," ")</f>
        <v xml:space="preserve"> </v>
      </c>
      <c r="N40" s="41" t="str">
        <f t="shared" si="7"/>
        <v xml:space="preserve"> </v>
      </c>
    </row>
    <row r="41" spans="1:14" x14ac:dyDescent="0.25">
      <c r="A41" s="22" t="str">
        <f>'SC_Loop 1'!A41</f>
        <v>MAD-441 &amp; MAD-441-I</v>
      </c>
      <c r="B41" s="23"/>
      <c r="C41" s="24">
        <f>'SC_Loop 1'!C41</f>
        <v>2.9999999999999997E-4</v>
      </c>
      <c r="D41" s="68">
        <f t="shared" si="3"/>
        <v>0</v>
      </c>
      <c r="E41" s="233">
        <f>B41*'System Calculation'!$I$14</f>
        <v>0</v>
      </c>
      <c r="F41" s="24">
        <f>'SC_Loop 1'!F41</f>
        <v>3.0000000000000001E-3</v>
      </c>
      <c r="G41" s="68">
        <f t="shared" si="4"/>
        <v>0</v>
      </c>
      <c r="H41" s="60"/>
      <c r="I41" s="60"/>
      <c r="J41" s="60" t="str">
        <f>IF(B41&lt;&gt;0,B41," ")</f>
        <v xml:space="preserve"> </v>
      </c>
      <c r="K41" s="60"/>
      <c r="L41" s="123" t="str">
        <f>IF(J41&lt;&gt;0,J41," ")</f>
        <v xml:space="preserve"> </v>
      </c>
      <c r="N41" s="41" t="str">
        <f t="shared" si="7"/>
        <v xml:space="preserve"> </v>
      </c>
    </row>
    <row r="42" spans="1:14" x14ac:dyDescent="0.25">
      <c r="A42" s="22" t="str">
        <f>'SC_Loop 1'!A42</f>
        <v>MAD-442 &amp; MAD-442-I</v>
      </c>
      <c r="B42" s="23"/>
      <c r="C42" s="24">
        <f>'SC_Loop 1'!C42</f>
        <v>2.9999999999999997E-4</v>
      </c>
      <c r="D42" s="68">
        <f t="shared" si="3"/>
        <v>0</v>
      </c>
      <c r="E42" s="233">
        <f>B42*'System Calculation'!$I$14</f>
        <v>0</v>
      </c>
      <c r="F42" s="24">
        <f>'SC_Loop 1'!F42</f>
        <v>3.0000000000000001E-3</v>
      </c>
      <c r="G42" s="68">
        <f t="shared" si="4"/>
        <v>0</v>
      </c>
      <c r="H42" s="60"/>
      <c r="I42" s="60"/>
      <c r="J42" s="60">
        <f>IF(B42&lt;&gt;0,B42,0)</f>
        <v>0</v>
      </c>
      <c r="K42" s="60"/>
      <c r="L42" s="123" t="str">
        <f>IF(J42&lt;&gt;0,2*J42," ")</f>
        <v xml:space="preserve"> </v>
      </c>
      <c r="N42" s="41" t="str">
        <f t="shared" si="7"/>
        <v xml:space="preserve"> </v>
      </c>
    </row>
    <row r="43" spans="1:14" x14ac:dyDescent="0.25">
      <c r="A43" s="22" t="str">
        <f>'SC_Loop 1'!A43</f>
        <v>MAD-450 &amp; MAD-450-I</v>
      </c>
      <c r="B43" s="23"/>
      <c r="C43" s="24">
        <f>'SC_Loop 1'!C43</f>
        <v>2.9999999999999997E-4</v>
      </c>
      <c r="D43" s="68">
        <f t="shared" si="3"/>
        <v>0</v>
      </c>
      <c r="E43" s="233">
        <f>B43*'System Calculation'!$I$12</f>
        <v>0</v>
      </c>
      <c r="F43" s="24">
        <f>'SC_Loop 1'!F43</f>
        <v>3.0000000000000001E-3</v>
      </c>
      <c r="G43" s="68">
        <f t="shared" si="4"/>
        <v>0</v>
      </c>
      <c r="H43" s="60"/>
      <c r="I43" s="59"/>
      <c r="J43" s="60"/>
      <c r="K43" s="60"/>
      <c r="L43" s="123" t="str">
        <f>IF(B43&lt;&gt;0,B43," ")</f>
        <v xml:space="preserve"> </v>
      </c>
      <c r="N43" s="11"/>
    </row>
    <row r="44" spans="1:14" x14ac:dyDescent="0.25">
      <c r="A44" s="22" t="str">
        <f>'SC_Loop 1'!A44</f>
        <v>MAD-451-I</v>
      </c>
      <c r="B44" s="23"/>
      <c r="C44" s="24">
        <f>'SC_Loop 1'!C44</f>
        <v>2.9999999999999997E-4</v>
      </c>
      <c r="D44" s="68">
        <f t="shared" si="3"/>
        <v>0</v>
      </c>
      <c r="E44" s="233">
        <f>B44*'System Calculation'!$I$12</f>
        <v>0</v>
      </c>
      <c r="F44" s="24">
        <f>'SC_Loop 1'!F44</f>
        <v>3.0000000000000001E-3</v>
      </c>
      <c r="G44" s="68">
        <f t="shared" si="4"/>
        <v>0</v>
      </c>
      <c r="H44" s="60"/>
      <c r="I44" s="60"/>
      <c r="J44" s="60"/>
      <c r="K44" s="60"/>
      <c r="L44" s="123" t="str">
        <f>IF(B44&lt;&gt;0,B44," ")</f>
        <v xml:space="preserve"> </v>
      </c>
    </row>
    <row r="45" spans="1:14" x14ac:dyDescent="0.25">
      <c r="A45" s="22" t="str">
        <f>'SC_Loop 1'!A45</f>
        <v>MAD-461-I</v>
      </c>
      <c r="B45" s="23"/>
      <c r="C45" s="24">
        <f>'SC_Loop 1'!C45</f>
        <v>2.9999999999999997E-4</v>
      </c>
      <c r="D45" s="68">
        <f t="shared" si="3"/>
        <v>0</v>
      </c>
      <c r="E45" s="233">
        <f>B45*'System Calculation'!$I$13</f>
        <v>0</v>
      </c>
      <c r="F45" s="24">
        <f>'SC_Loop 1'!F45</f>
        <v>8.9999999999999993E-3</v>
      </c>
      <c r="G45" s="68">
        <f>E45*F45</f>
        <v>0</v>
      </c>
      <c r="H45" s="60" t="str">
        <f>IF(B45*G45=0," ",G45)</f>
        <v xml:space="preserve"> </v>
      </c>
      <c r="I45" s="60"/>
      <c r="J45" s="60"/>
      <c r="K45" s="60" t="str">
        <f t="shared" ref="K45:K53" si="8">IF(B45&lt;&gt;0,B45," ")</f>
        <v xml:space="preserve"> </v>
      </c>
      <c r="L45" s="123" t="str">
        <f>IF(K45&lt;&gt;0,K45," ")</f>
        <v xml:space="preserve"> </v>
      </c>
    </row>
    <row r="46" spans="1:14" x14ac:dyDescent="0.25">
      <c r="A46" s="22" t="str">
        <f>'SC_Loop 1'!A46</f>
        <v>MAD-464-I Low vol. (78 dB)</v>
      </c>
      <c r="B46" s="23"/>
      <c r="C46" s="24">
        <f>'SC_Loop 1'!C46</f>
        <v>2.9999999999999997E-4</v>
      </c>
      <c r="D46" s="68">
        <f t="shared" si="3"/>
        <v>0</v>
      </c>
      <c r="E46" s="233">
        <f>B46*'System Calculation'!$I$13</f>
        <v>0</v>
      </c>
      <c r="F46" s="24">
        <f>'SC_Loop 1'!F46</f>
        <v>6.4999999999999997E-3</v>
      </c>
      <c r="G46" s="68">
        <f t="shared" ref="G46:G51" si="9">E46*F46</f>
        <v>0</v>
      </c>
      <c r="H46" s="60" t="str">
        <f t="shared" ref="H46:H53" si="10">IF(B46*G46=0," ",G46)</f>
        <v xml:space="preserve"> </v>
      </c>
      <c r="I46" s="60"/>
      <c r="J46" s="60"/>
      <c r="K46" s="60" t="str">
        <f t="shared" si="8"/>
        <v xml:space="preserve"> </v>
      </c>
      <c r="L46" s="123" t="str">
        <f t="shared" ref="L46:L53" si="11">IF(K46&lt;&gt;0,K46," ")</f>
        <v xml:space="preserve"> </v>
      </c>
    </row>
    <row r="47" spans="1:14" x14ac:dyDescent="0.25">
      <c r="A47" s="22" t="str">
        <f>'SC_Loop 1'!A47</f>
        <v>MAD-464-I Medium vol. (93 dB)</v>
      </c>
      <c r="B47" s="23"/>
      <c r="C47" s="24">
        <f>'SC_Loop 1'!C47</f>
        <v>2.9999999999999997E-4</v>
      </c>
      <c r="D47" s="68">
        <f t="shared" si="3"/>
        <v>0</v>
      </c>
      <c r="E47" s="233">
        <f>B47*'System Calculation'!$I$13</f>
        <v>0</v>
      </c>
      <c r="F47" s="24">
        <f>'SC_Loop 1'!F47</f>
        <v>9.7000000000000003E-3</v>
      </c>
      <c r="G47" s="68">
        <f t="shared" si="9"/>
        <v>0</v>
      </c>
      <c r="H47" s="60" t="str">
        <f t="shared" si="10"/>
        <v xml:space="preserve"> </v>
      </c>
      <c r="I47" s="60"/>
      <c r="J47" s="60"/>
      <c r="K47" s="60" t="str">
        <f t="shared" si="8"/>
        <v xml:space="preserve"> </v>
      </c>
      <c r="L47" s="123" t="str">
        <f t="shared" si="11"/>
        <v xml:space="preserve"> </v>
      </c>
    </row>
    <row r="48" spans="1:14" x14ac:dyDescent="0.25">
      <c r="A48" s="22" t="str">
        <f>'SC_Loop 1'!A48</f>
        <v>MAD-464-I High vol. (97 dB)</v>
      </c>
      <c r="B48" s="23"/>
      <c r="C48" s="24">
        <f>'SC_Loop 1'!C48</f>
        <v>2.9999999999999997E-4</v>
      </c>
      <c r="D48" s="68">
        <f t="shared" si="3"/>
        <v>0</v>
      </c>
      <c r="E48" s="233">
        <f>B48*'System Calculation'!$I$13</f>
        <v>0</v>
      </c>
      <c r="F48" s="24">
        <f>'SC_Loop 1'!F48</f>
        <v>1.2999999999999999E-2</v>
      </c>
      <c r="G48" s="68">
        <f t="shared" si="9"/>
        <v>0</v>
      </c>
      <c r="H48" s="60" t="str">
        <f t="shared" si="10"/>
        <v xml:space="preserve"> </v>
      </c>
      <c r="I48" s="60"/>
      <c r="J48" s="60"/>
      <c r="K48" s="60" t="str">
        <f t="shared" si="8"/>
        <v xml:space="preserve"> </v>
      </c>
      <c r="L48" s="123" t="str">
        <f t="shared" si="11"/>
        <v xml:space="preserve"> </v>
      </c>
    </row>
    <row r="49" spans="1:14" x14ac:dyDescent="0.25">
      <c r="A49" s="22" t="str">
        <f>'SC_Loop 1'!A49</f>
        <v>MAD-465-I Low vol. (78 dB)</v>
      </c>
      <c r="B49" s="23"/>
      <c r="C49" s="24">
        <f>'SC_Loop 1'!C49</f>
        <v>2.9999999999999997E-4</v>
      </c>
      <c r="D49" s="68">
        <f t="shared" si="3"/>
        <v>0</v>
      </c>
      <c r="E49" s="233">
        <f>B49*'System Calculation'!$I$13</f>
        <v>0</v>
      </c>
      <c r="F49" s="24">
        <f>'SC_Loop 1'!F49</f>
        <v>6.4999999999999997E-3</v>
      </c>
      <c r="G49" s="68">
        <f t="shared" si="9"/>
        <v>0</v>
      </c>
      <c r="H49" s="60" t="str">
        <f t="shared" si="10"/>
        <v xml:space="preserve"> </v>
      </c>
      <c r="I49" s="60"/>
      <c r="J49" s="60"/>
      <c r="K49" s="60" t="str">
        <f t="shared" si="8"/>
        <v xml:space="preserve"> </v>
      </c>
      <c r="L49" s="123" t="str">
        <f t="shared" si="11"/>
        <v xml:space="preserve"> </v>
      </c>
    </row>
    <row r="50" spans="1:14" x14ac:dyDescent="0.25">
      <c r="A50" s="22" t="str">
        <f>'SC_Loop 1'!A50</f>
        <v>MAD-465-I Medium vol. (93 dB)</v>
      </c>
      <c r="B50" s="23"/>
      <c r="C50" s="24">
        <f>'SC_Loop 1'!C50</f>
        <v>2.9999999999999997E-4</v>
      </c>
      <c r="D50" s="68">
        <f t="shared" si="3"/>
        <v>0</v>
      </c>
      <c r="E50" s="233">
        <f>B50*'System Calculation'!$I$13</f>
        <v>0</v>
      </c>
      <c r="F50" s="24">
        <f>'SC_Loop 1'!F50</f>
        <v>9.7000000000000003E-3</v>
      </c>
      <c r="G50" s="68">
        <f t="shared" si="9"/>
        <v>0</v>
      </c>
      <c r="H50" s="60" t="str">
        <f t="shared" si="10"/>
        <v xml:space="preserve"> </v>
      </c>
      <c r="I50" s="60"/>
      <c r="J50" s="60"/>
      <c r="K50" s="60" t="str">
        <f t="shared" si="8"/>
        <v xml:space="preserve"> </v>
      </c>
      <c r="L50" s="123" t="str">
        <f t="shared" si="11"/>
        <v xml:space="preserve"> </v>
      </c>
    </row>
    <row r="51" spans="1:14" x14ac:dyDescent="0.25">
      <c r="A51" s="22" t="str">
        <f>'SC_Loop 1'!A51</f>
        <v>MAD-465-I High vol. (97 dB)</v>
      </c>
      <c r="B51" s="23"/>
      <c r="C51" s="24">
        <f>'SC_Loop 1'!C51</f>
        <v>2.9999999999999997E-4</v>
      </c>
      <c r="D51" s="68">
        <f t="shared" si="3"/>
        <v>0</v>
      </c>
      <c r="E51" s="233">
        <f>B51*'System Calculation'!$I$13</f>
        <v>0</v>
      </c>
      <c r="F51" s="24">
        <f>'SC_Loop 1'!F51</f>
        <v>1.2999999999999999E-2</v>
      </c>
      <c r="G51" s="68">
        <f t="shared" si="9"/>
        <v>0</v>
      </c>
      <c r="H51" s="60" t="str">
        <f t="shared" si="10"/>
        <v xml:space="preserve"> </v>
      </c>
      <c r="I51" s="60"/>
      <c r="J51" s="60"/>
      <c r="K51" s="60" t="str">
        <f t="shared" si="8"/>
        <v xml:space="preserve"> </v>
      </c>
      <c r="L51" s="123" t="str">
        <f t="shared" si="11"/>
        <v xml:space="preserve"> </v>
      </c>
    </row>
    <row r="52" spans="1:14" x14ac:dyDescent="0.25">
      <c r="A52" s="22" t="str">
        <f>'SC_Loop 1'!A52</f>
        <v>MAD-472</v>
      </c>
      <c r="B52" s="23"/>
      <c r="C52" s="24">
        <f>'SC_Loop 1'!C52</f>
        <v>3.5E-4</v>
      </c>
      <c r="D52" s="68">
        <f>B52*C52</f>
        <v>0</v>
      </c>
      <c r="E52" s="233">
        <f>B52*'System Calculation'!$I$13</f>
        <v>0</v>
      </c>
      <c r="F52" s="24">
        <f>'SC_Loop 1'!F52</f>
        <v>1.4E-2</v>
      </c>
      <c r="G52" s="68">
        <f t="shared" si="4"/>
        <v>0</v>
      </c>
      <c r="H52" s="60" t="str">
        <f t="shared" si="10"/>
        <v xml:space="preserve"> </v>
      </c>
      <c r="I52" s="60"/>
      <c r="J52" s="60"/>
      <c r="K52" s="60" t="str">
        <f t="shared" si="8"/>
        <v xml:space="preserve"> </v>
      </c>
      <c r="L52" s="123" t="str">
        <f t="shared" si="11"/>
        <v xml:space="preserve"> </v>
      </c>
    </row>
    <row r="53" spans="1:14" x14ac:dyDescent="0.25">
      <c r="A53" s="22" t="str">
        <f>'SC_Loop 1'!A53</f>
        <v>MAD-473</v>
      </c>
      <c r="B53" s="23"/>
      <c r="C53" s="24">
        <f>'SC_Loop 1'!C53</f>
        <v>3.5E-4</v>
      </c>
      <c r="D53" s="68">
        <f t="shared" si="3"/>
        <v>0</v>
      </c>
      <c r="E53" s="233">
        <f>B53*'System Calculation'!$I$13</f>
        <v>0</v>
      </c>
      <c r="F53" s="24">
        <f>'SC_Loop 1'!F53</f>
        <v>1.4999999999999999E-2</v>
      </c>
      <c r="G53" s="68">
        <f t="shared" si="4"/>
        <v>0</v>
      </c>
      <c r="H53" s="60" t="str">
        <f t="shared" si="10"/>
        <v xml:space="preserve"> </v>
      </c>
      <c r="I53" s="60"/>
      <c r="J53" s="60"/>
      <c r="K53" s="60" t="str">
        <f t="shared" si="8"/>
        <v xml:space="preserve"> </v>
      </c>
      <c r="L53" s="123" t="str">
        <f t="shared" si="11"/>
        <v xml:space="preserve"> </v>
      </c>
    </row>
    <row r="54" spans="1:14" x14ac:dyDescent="0.25">
      <c r="A54" s="22" t="str">
        <f>'SC_Loop 1'!A54</f>
        <v>MAD-481</v>
      </c>
      <c r="B54" s="23"/>
      <c r="C54" s="24">
        <f>'SC_Loop 1'!C54</f>
        <v>2.9999999999999997E-4</v>
      </c>
      <c r="D54" s="68">
        <f t="shared" si="3"/>
        <v>0</v>
      </c>
      <c r="E54" s="233">
        <f>B54*'System Calculation'!$I$14</f>
        <v>0</v>
      </c>
      <c r="F54" s="24">
        <f>'SC_Loop 1'!F54</f>
        <v>3.0000000000000001E-3</v>
      </c>
      <c r="G54" s="68">
        <f t="shared" si="4"/>
        <v>0</v>
      </c>
      <c r="H54" s="60"/>
      <c r="I54" s="60"/>
      <c r="J54" s="60" t="str">
        <f>IF(B54&lt;&gt;0,B54," ")</f>
        <v xml:space="preserve"> </v>
      </c>
      <c r="K54" s="60"/>
      <c r="L54" s="123" t="str">
        <f>IF(J54&lt;&gt;0,J54," ")</f>
        <v xml:space="preserve"> </v>
      </c>
      <c r="N54" s="41"/>
    </row>
    <row r="55" spans="1:14" x14ac:dyDescent="0.25">
      <c r="A55" s="22" t="str">
        <f>'SC_Loop 1'!A55</f>
        <v>MAD-490</v>
      </c>
      <c r="B55" s="23"/>
      <c r="C55" s="24">
        <f>'SC_Loop 1'!C55</f>
        <v>2.9999999999999997E-4</v>
      </c>
      <c r="D55" s="68">
        <f t="shared" si="3"/>
        <v>0</v>
      </c>
      <c r="E55" s="233"/>
      <c r="F55" s="24">
        <f>'SC_Loop 1'!F55</f>
        <v>0.05</v>
      </c>
      <c r="G55" s="68">
        <f t="shared" si="4"/>
        <v>0</v>
      </c>
      <c r="H55" s="60"/>
      <c r="I55" s="60"/>
      <c r="J55" s="60"/>
      <c r="K55" s="60"/>
      <c r="L55" s="123"/>
    </row>
    <row r="56" spans="1:14" x14ac:dyDescent="0.25">
      <c r="A56" s="22" t="str">
        <f>'SC_Loop 1'!A56</f>
        <v>PAD-10</v>
      </c>
      <c r="B56" s="23"/>
      <c r="C56" s="24">
        <f>'SC_Loop 1'!C56</f>
        <v>6.2500000000000001E-4</v>
      </c>
      <c r="D56" s="68">
        <f t="shared" si="3"/>
        <v>0</v>
      </c>
      <c r="E56" s="233">
        <f>IF(B56&gt;10,10,B56)</f>
        <v>0</v>
      </c>
      <c r="F56" s="24">
        <f>'SC_Loop 1'!F56</f>
        <v>5.0000000000000001E-3</v>
      </c>
      <c r="G56" s="68">
        <f t="shared" si="4"/>
        <v>0</v>
      </c>
      <c r="H56" s="60"/>
      <c r="I56" s="60"/>
      <c r="J56" s="60"/>
      <c r="K56" s="60"/>
      <c r="L56" s="123"/>
    </row>
    <row r="57" spans="1:14" x14ac:dyDescent="0.25">
      <c r="A57" s="22" t="str">
        <f>'SC_Loop 1'!A57</f>
        <v>PAD-10A-I</v>
      </c>
      <c r="B57" s="23"/>
      <c r="C57" s="24">
        <f>'SC_Loop 1'!C57</f>
        <v>1.85E-4</v>
      </c>
      <c r="D57" s="68">
        <f t="shared" si="3"/>
        <v>0</v>
      </c>
      <c r="E57" s="233">
        <f>IF(B57&gt;10,10,B57)</f>
        <v>0</v>
      </c>
      <c r="F57" s="24">
        <f>'SC_Loop 1'!F57</f>
        <v>4.0000000000000001E-3</v>
      </c>
      <c r="G57" s="68">
        <f t="shared" si="4"/>
        <v>0</v>
      </c>
      <c r="H57" s="60"/>
      <c r="I57" s="60"/>
      <c r="J57" s="60"/>
      <c r="K57" s="60"/>
      <c r="L57" s="123"/>
    </row>
    <row r="58" spans="1:14" x14ac:dyDescent="0.25">
      <c r="A58" s="22" t="str">
        <f>'SC_Loop 1'!A58</f>
        <v>TPLD-100 (CCD-102) = 3 loop address</v>
      </c>
      <c r="B58" s="23"/>
      <c r="C58" s="24">
        <f>'SC_Loop 1'!C58</f>
        <v>2.9999999999999997E-4</v>
      </c>
      <c r="D58" s="68">
        <f t="shared" si="3"/>
        <v>0</v>
      </c>
      <c r="E58" s="233"/>
      <c r="F58" s="24">
        <f>'SC_Loop 1'!F58</f>
        <v>3.0000000000000001E-3</v>
      </c>
      <c r="G58" s="68">
        <f t="shared" si="4"/>
        <v>0</v>
      </c>
      <c r="H58" s="60"/>
      <c r="I58" s="60"/>
      <c r="J58" s="60"/>
      <c r="K58" s="60"/>
      <c r="L58" s="123" t="str">
        <f>IF(B58&lt;&gt;0,3*B58," ")</f>
        <v xml:space="preserve"> </v>
      </c>
    </row>
    <row r="59" spans="1:14" x14ac:dyDescent="0.25">
      <c r="A59" s="22" t="str">
        <f>'SC_Loop 1'!A59</f>
        <v>TPLD-100 (CCD-104) = 5 loop address</v>
      </c>
      <c r="B59" s="23"/>
      <c r="C59" s="24">
        <f>'SC_Loop 1'!C59</f>
        <v>2.9999999999999997E-4</v>
      </c>
      <c r="D59" s="68">
        <f t="shared" si="3"/>
        <v>0</v>
      </c>
      <c r="E59" s="233"/>
      <c r="F59" s="24">
        <f>'SC_Loop 1'!F59</f>
        <v>3.0000000000000001E-3</v>
      </c>
      <c r="G59" s="68">
        <f t="shared" si="4"/>
        <v>0</v>
      </c>
      <c r="H59" s="60"/>
      <c r="I59" s="60"/>
      <c r="J59" s="60"/>
      <c r="K59" s="60"/>
      <c r="L59" s="123" t="str">
        <f>IF(B59&lt;&gt;0,5*B59," ")</f>
        <v xml:space="preserve"> </v>
      </c>
    </row>
    <row r="60" spans="1:14" x14ac:dyDescent="0.25">
      <c r="A60" s="22" t="str">
        <f>'SC_Loop 1'!A60</f>
        <v>TPLD-100 (CCD-108) = 9 loop address</v>
      </c>
      <c r="B60" s="23"/>
      <c r="C60" s="24">
        <f>'SC_Loop 1'!C60</f>
        <v>2.9999999999999997E-4</v>
      </c>
      <c r="D60" s="68">
        <f t="shared" si="3"/>
        <v>0</v>
      </c>
      <c r="E60" s="233"/>
      <c r="F60" s="24">
        <f>'SC_Loop 1'!F60</f>
        <v>3.0000000000000001E-3</v>
      </c>
      <c r="G60" s="68">
        <f t="shared" si="4"/>
        <v>0</v>
      </c>
      <c r="H60" s="60"/>
      <c r="I60" s="60"/>
      <c r="J60" s="60"/>
      <c r="K60" s="60"/>
      <c r="L60" s="123" t="str">
        <f>IF(B60&lt;&gt;0,9*B60," ")</f>
        <v xml:space="preserve"> </v>
      </c>
    </row>
    <row r="61" spans="1:14" x14ac:dyDescent="0.25">
      <c r="A61" s="22" t="str">
        <f>'SC_Loop 1'!A61</f>
        <v>TPLD-100 (CCD-112) = 13 loop address</v>
      </c>
      <c r="B61" s="23"/>
      <c r="C61" s="24">
        <f>'SC_Loop 1'!C61</f>
        <v>2.9999999999999997E-4</v>
      </c>
      <c r="D61" s="68">
        <f t="shared" si="3"/>
        <v>0</v>
      </c>
      <c r="E61" s="233"/>
      <c r="F61" s="24">
        <f>'SC_Loop 1'!F61</f>
        <v>3.0000000000000001E-3</v>
      </c>
      <c r="G61" s="68">
        <f t="shared" si="4"/>
        <v>0</v>
      </c>
      <c r="H61" s="60"/>
      <c r="I61" s="60"/>
      <c r="J61" s="60"/>
      <c r="K61" s="60"/>
      <c r="L61" s="123" t="str">
        <f>IF(B61&lt;&gt;0,13*B61," ")</f>
        <v xml:space="preserve"> </v>
      </c>
    </row>
    <row r="62" spans="1:14" ht="13.8" thickBot="1" x14ac:dyDescent="0.3">
      <c r="A62" s="126" t="str">
        <f>'SC_Loop 1'!A62</f>
        <v>TPLD-100 (CCD-103) = 7 loop address</v>
      </c>
      <c r="B62" s="127"/>
      <c r="C62" s="199">
        <f>'SC_Loop 1'!C62</f>
        <v>2.9999999999999997E-4</v>
      </c>
      <c r="D62" s="128">
        <f t="shared" si="3"/>
        <v>0</v>
      </c>
      <c r="E62" s="235"/>
      <c r="F62" s="199">
        <f>'SC_Loop 1'!F62</f>
        <v>3.0000000000000001E-3</v>
      </c>
      <c r="G62" s="128">
        <f t="shared" si="4"/>
        <v>0</v>
      </c>
      <c r="H62" s="50"/>
      <c r="I62" s="50"/>
      <c r="J62" s="50"/>
      <c r="K62" s="141"/>
      <c r="L62" s="129" t="str">
        <f>IF(B62&lt;&gt;0,7*B62," ")</f>
        <v xml:space="preserve"> </v>
      </c>
    </row>
    <row r="63" spans="1:14" s="7" customFormat="1" ht="13.8" thickBot="1" x14ac:dyDescent="0.3">
      <c r="A63" s="19" t="s">
        <v>8</v>
      </c>
      <c r="B63" s="73">
        <f>SUM(B15:B55)+SUM(L58:L62)</f>
        <v>0</v>
      </c>
      <c r="C63" s="20"/>
      <c r="D63" s="70">
        <f>SUM(D15:D62)</f>
        <v>0</v>
      </c>
      <c r="E63" s="72">
        <f>SUM(E15:E55)</f>
        <v>0</v>
      </c>
      <c r="F63" s="70"/>
      <c r="G63" s="70">
        <f>SUM(G15:G62)</f>
        <v>0</v>
      </c>
      <c r="H63" s="70">
        <f t="shared" ref="H63:L63" si="12">SUM(H15:H62)</f>
        <v>0</v>
      </c>
      <c r="I63" s="73">
        <f t="shared" si="12"/>
        <v>0</v>
      </c>
      <c r="J63" s="73">
        <f t="shared" si="12"/>
        <v>0</v>
      </c>
      <c r="K63" s="73">
        <f t="shared" si="12"/>
        <v>0</v>
      </c>
      <c r="L63" s="142">
        <f t="shared" si="12"/>
        <v>0</v>
      </c>
    </row>
    <row r="64" spans="1:14" s="7" customFormat="1" x14ac:dyDescent="0.25">
      <c r="A64" s="29"/>
      <c r="B64" s="119"/>
      <c r="C64" s="120"/>
      <c r="D64" s="121"/>
      <c r="E64" s="122"/>
      <c r="F64" s="121"/>
      <c r="G64" s="121"/>
      <c r="H64" s="121"/>
      <c r="I64" s="121"/>
      <c r="J64" s="121"/>
      <c r="K64" s="119"/>
      <c r="L64" s="119"/>
    </row>
    <row r="65" spans="1:12" ht="14.4" customHeight="1" thickBot="1" x14ac:dyDescent="0.3">
      <c r="E65" s="32"/>
      <c r="K65" s="150" t="str">
        <f>IF($L$63&gt;250,"Error: The Loop cannot contain more than 250 addresses","")</f>
        <v/>
      </c>
    </row>
    <row r="66" spans="1:12" ht="14.4" customHeight="1" thickBot="1" x14ac:dyDescent="0.3">
      <c r="A66" s="19" t="s">
        <v>137</v>
      </c>
      <c r="B66" s="130"/>
      <c r="C66" s="130"/>
      <c r="D66" s="131"/>
      <c r="E66" s="32"/>
    </row>
    <row r="67" spans="1:12" ht="14.4" customHeight="1" x14ac:dyDescent="0.25">
      <c r="A67" s="111" t="s">
        <v>138</v>
      </c>
      <c r="B67" s="139">
        <v>1.72E-2</v>
      </c>
      <c r="C67" s="52"/>
      <c r="D67" s="134" t="s">
        <v>139</v>
      </c>
      <c r="E67" s="32"/>
    </row>
    <row r="68" spans="1:12" ht="14.4" customHeight="1" x14ac:dyDescent="0.25">
      <c r="A68" s="39" t="s">
        <v>140</v>
      </c>
      <c r="B68" s="137">
        <f>D63</f>
        <v>0</v>
      </c>
      <c r="C68" s="60"/>
      <c r="D68" s="109" t="s">
        <v>9</v>
      </c>
      <c r="E68" s="32"/>
    </row>
    <row r="69" spans="1:12" ht="14.4" customHeight="1" x14ac:dyDescent="0.25">
      <c r="A69" s="39" t="s">
        <v>141</v>
      </c>
      <c r="B69" s="137">
        <f>G63-H63</f>
        <v>0</v>
      </c>
      <c r="C69" s="60"/>
      <c r="D69" s="109" t="s">
        <v>9</v>
      </c>
      <c r="E69" s="32"/>
    </row>
    <row r="70" spans="1:12" ht="14.4" customHeight="1" x14ac:dyDescent="0.25">
      <c r="A70" s="39" t="s">
        <v>142</v>
      </c>
      <c r="B70" s="137">
        <f>H63</f>
        <v>0</v>
      </c>
      <c r="C70" s="60"/>
      <c r="D70" s="109" t="s">
        <v>9</v>
      </c>
      <c r="E70" s="32"/>
    </row>
    <row r="71" spans="1:12" ht="14.4" customHeight="1" x14ac:dyDescent="0.25">
      <c r="A71" s="39" t="s">
        <v>143</v>
      </c>
      <c r="B71" s="137">
        <f>SUM(B68:B70)</f>
        <v>0</v>
      </c>
      <c r="C71" s="60"/>
      <c r="D71" s="109" t="s">
        <v>9</v>
      </c>
      <c r="E71" s="32"/>
    </row>
    <row r="72" spans="1:12" ht="14.4" customHeight="1" thickBot="1" x14ac:dyDescent="0.3">
      <c r="A72" s="140" t="s">
        <v>144</v>
      </c>
      <c r="B72" s="124">
        <v>6.9</v>
      </c>
      <c r="C72" s="124"/>
      <c r="D72" s="34" t="s">
        <v>145</v>
      </c>
      <c r="E72" s="32"/>
    </row>
    <row r="73" spans="1:12" ht="14.4" customHeight="1" thickBot="1" x14ac:dyDescent="0.3">
      <c r="A73" s="17"/>
      <c r="E73" s="32"/>
    </row>
    <row r="74" spans="1:12" ht="14.4" customHeight="1" thickBot="1" x14ac:dyDescent="0.3">
      <c r="A74" s="8" t="s">
        <v>155</v>
      </c>
      <c r="B74" s="147"/>
      <c r="C74" s="147"/>
      <c r="D74" s="147"/>
      <c r="E74" s="162"/>
      <c r="F74" s="147"/>
      <c r="G74" s="147"/>
      <c r="H74" s="147"/>
      <c r="I74" s="147"/>
      <c r="J74" s="147"/>
      <c r="K74" s="148"/>
      <c r="L74" s="151" t="s">
        <v>151</v>
      </c>
    </row>
    <row r="75" spans="1:12" ht="14.4" customHeight="1" x14ac:dyDescent="0.25">
      <c r="A75" s="169" t="s">
        <v>156</v>
      </c>
      <c r="B75" s="52">
        <v>1000</v>
      </c>
      <c r="C75" s="52"/>
      <c r="D75" s="52">
        <v>1500</v>
      </c>
      <c r="E75" s="161"/>
      <c r="F75" s="52"/>
      <c r="G75" s="52">
        <v>2000</v>
      </c>
      <c r="H75" s="52">
        <v>2500</v>
      </c>
      <c r="I75" s="52">
        <v>3000</v>
      </c>
      <c r="J75" s="165">
        <v>3500</v>
      </c>
      <c r="K75" s="152" t="s">
        <v>152</v>
      </c>
    </row>
    <row r="76" spans="1:12" ht="14.4" customHeight="1" x14ac:dyDescent="0.25">
      <c r="A76" s="138" t="s">
        <v>157</v>
      </c>
      <c r="B76" s="154" t="e">
        <f>((($B$67*B75)/B78)*2)</f>
        <v>#DIV/0!</v>
      </c>
      <c r="C76" s="154" t="e">
        <f t="shared" ref="C76:J76" si="13">((($B$67*C75)/C78)*2)</f>
        <v>#DIV/0!</v>
      </c>
      <c r="D76" s="154" t="e">
        <f t="shared" si="13"/>
        <v>#DIV/0!</v>
      </c>
      <c r="E76" s="154" t="e">
        <f t="shared" si="13"/>
        <v>#DIV/0!</v>
      </c>
      <c r="F76" s="154" t="e">
        <f t="shared" si="13"/>
        <v>#DIV/0!</v>
      </c>
      <c r="G76" s="154" t="e">
        <f t="shared" si="13"/>
        <v>#DIV/0!</v>
      </c>
      <c r="H76" s="154" t="e">
        <f t="shared" si="13"/>
        <v>#DIV/0!</v>
      </c>
      <c r="I76" s="154" t="e">
        <f t="shared" si="13"/>
        <v>#DIV/0!</v>
      </c>
      <c r="J76" s="154" t="e">
        <f t="shared" si="13"/>
        <v>#DIV/0!</v>
      </c>
      <c r="K76" s="153" t="s">
        <v>153</v>
      </c>
    </row>
    <row r="77" spans="1:12" ht="14.4" customHeight="1" thickBot="1" x14ac:dyDescent="0.3">
      <c r="A77" s="168" t="s">
        <v>158</v>
      </c>
      <c r="B77" s="154" t="e">
        <f>B76/2</f>
        <v>#DIV/0!</v>
      </c>
      <c r="C77" s="154" t="e">
        <f t="shared" ref="C77:G77" si="14">C76/2</f>
        <v>#DIV/0!</v>
      </c>
      <c r="D77" s="154" t="e">
        <f t="shared" si="14"/>
        <v>#DIV/0!</v>
      </c>
      <c r="E77" s="154" t="e">
        <f t="shared" si="14"/>
        <v>#DIV/0!</v>
      </c>
      <c r="F77" s="154" t="e">
        <f t="shared" si="14"/>
        <v>#DIV/0!</v>
      </c>
      <c r="G77" s="154" t="e">
        <f t="shared" si="14"/>
        <v>#DIV/0!</v>
      </c>
      <c r="H77" s="154" t="e">
        <f>H76/2</f>
        <v>#DIV/0!</v>
      </c>
      <c r="I77" s="154" t="e">
        <f>I76/2</f>
        <v>#DIV/0!</v>
      </c>
      <c r="J77" s="154" t="e">
        <f>J76/2</f>
        <v>#DIV/0!</v>
      </c>
      <c r="K77" s="167" t="s">
        <v>153</v>
      </c>
    </row>
    <row r="78" spans="1:12" ht="14.4" customHeight="1" thickBot="1" x14ac:dyDescent="0.3">
      <c r="A78" s="19" t="s">
        <v>159</v>
      </c>
      <c r="B78" s="194" t="e">
        <f t="shared" ref="B78:J78" si="15">IF((($B$67*B$75)/(($B$72-((SUM($B$16,$B$18,$B$20,$B$22)*0.155)*$B$71))/$B$71))&lt;0.5,0.5,(($B$67*B$75)/(($B$72-((SUM($B$16,$B$18,$B$20,$B$22)*0.155)*$B$71))/$B$71)))</f>
        <v>#DIV/0!</v>
      </c>
      <c r="C78" s="194" t="e">
        <f t="shared" si="15"/>
        <v>#DIV/0!</v>
      </c>
      <c r="D78" s="194" t="e">
        <f t="shared" si="15"/>
        <v>#DIV/0!</v>
      </c>
      <c r="E78" s="194" t="e">
        <f t="shared" si="15"/>
        <v>#DIV/0!</v>
      </c>
      <c r="F78" s="194" t="e">
        <f t="shared" si="15"/>
        <v>#DIV/0!</v>
      </c>
      <c r="G78" s="194" t="e">
        <f t="shared" si="15"/>
        <v>#DIV/0!</v>
      </c>
      <c r="H78" s="194" t="e">
        <f t="shared" si="15"/>
        <v>#DIV/0!</v>
      </c>
      <c r="I78" s="194" t="e">
        <f t="shared" si="15"/>
        <v>#DIV/0!</v>
      </c>
      <c r="J78" s="194" t="e">
        <f t="shared" si="15"/>
        <v>#DIV/0!</v>
      </c>
      <c r="K78" s="108" t="s">
        <v>131</v>
      </c>
    </row>
    <row r="79" spans="1:12" ht="14.4" customHeight="1" thickBot="1" x14ac:dyDescent="0.3">
      <c r="A79" s="17"/>
      <c r="E79" s="32"/>
    </row>
    <row r="80" spans="1:12" ht="14.4" customHeight="1" thickBot="1" x14ac:dyDescent="0.3">
      <c r="A80" s="8" t="s">
        <v>160</v>
      </c>
      <c r="B80" s="147"/>
      <c r="C80" s="147"/>
      <c r="D80" s="147"/>
      <c r="E80" s="162"/>
      <c r="F80" s="147"/>
      <c r="G80" s="147"/>
      <c r="H80" s="147"/>
      <c r="I80" s="147"/>
      <c r="J80" s="147"/>
      <c r="K80" s="148"/>
      <c r="L80" s="151" t="s">
        <v>154</v>
      </c>
    </row>
    <row r="81" spans="1:11" ht="14.4" customHeight="1" x14ac:dyDescent="0.25">
      <c r="A81" s="163" t="s">
        <v>161</v>
      </c>
      <c r="B81" s="48">
        <v>0.5</v>
      </c>
      <c r="C81" s="52"/>
      <c r="D81" s="52">
        <v>0.75</v>
      </c>
      <c r="E81" s="161"/>
      <c r="F81" s="52"/>
      <c r="G81" s="52">
        <v>1</v>
      </c>
      <c r="H81" s="52">
        <v>1.5</v>
      </c>
      <c r="I81" s="52">
        <v>2.5</v>
      </c>
      <c r="J81" s="165">
        <v>4</v>
      </c>
      <c r="K81" s="152" t="s">
        <v>131</v>
      </c>
    </row>
    <row r="82" spans="1:11" ht="14.4" customHeight="1" x14ac:dyDescent="0.25">
      <c r="A82" s="164" t="s">
        <v>157</v>
      </c>
      <c r="B82" s="154" t="e">
        <f t="shared" ref="B82:J82" si="16">$B$67*B84/B81*2</f>
        <v>#DIV/0!</v>
      </c>
      <c r="C82" s="154" t="e">
        <f t="shared" si="16"/>
        <v>#DIV/0!</v>
      </c>
      <c r="D82" s="154" t="e">
        <f t="shared" si="16"/>
        <v>#DIV/0!</v>
      </c>
      <c r="E82" s="154" t="e">
        <f t="shared" si="16"/>
        <v>#DIV/0!</v>
      </c>
      <c r="F82" s="154" t="e">
        <f t="shared" si="16"/>
        <v>#DIV/0!</v>
      </c>
      <c r="G82" s="154" t="e">
        <f t="shared" si="16"/>
        <v>#DIV/0!</v>
      </c>
      <c r="H82" s="154" t="e">
        <f t="shared" si="16"/>
        <v>#DIV/0!</v>
      </c>
      <c r="I82" s="154" t="e">
        <f t="shared" si="16"/>
        <v>#DIV/0!</v>
      </c>
      <c r="J82" s="154" t="e">
        <f t="shared" si="16"/>
        <v>#DIV/0!</v>
      </c>
      <c r="K82" s="153" t="s">
        <v>153</v>
      </c>
    </row>
    <row r="83" spans="1:11" ht="14.4" customHeight="1" thickBot="1" x14ac:dyDescent="0.3">
      <c r="A83" s="166" t="s">
        <v>158</v>
      </c>
      <c r="B83" s="154" t="e">
        <f>B82/2</f>
        <v>#DIV/0!</v>
      </c>
      <c r="C83" s="154" t="e">
        <f t="shared" ref="C83:G83" si="17">C82/2</f>
        <v>#DIV/0!</v>
      </c>
      <c r="D83" s="154" t="e">
        <f t="shared" si="17"/>
        <v>#DIV/0!</v>
      </c>
      <c r="E83" s="154" t="e">
        <f t="shared" si="17"/>
        <v>#DIV/0!</v>
      </c>
      <c r="F83" s="154" t="e">
        <f t="shared" si="17"/>
        <v>#DIV/0!</v>
      </c>
      <c r="G83" s="154" t="e">
        <f t="shared" si="17"/>
        <v>#DIV/0!</v>
      </c>
      <c r="H83" s="154" t="e">
        <f>H82/2</f>
        <v>#DIV/0!</v>
      </c>
      <c r="I83" s="154" t="e">
        <f>I82/2</f>
        <v>#DIV/0!</v>
      </c>
      <c r="J83" s="154" t="e">
        <f>J82/2</f>
        <v>#DIV/0!</v>
      </c>
      <c r="K83" s="167" t="s">
        <v>153</v>
      </c>
    </row>
    <row r="84" spans="1:11" ht="14.4" customHeight="1" thickBot="1" x14ac:dyDescent="0.3">
      <c r="A84" s="108" t="s">
        <v>162</v>
      </c>
      <c r="B84" s="194" t="e">
        <f t="shared" ref="B84:J84" si="18">IF((((($B$72-((SUM($B$16,$B$18,$B$20,$B$22)*0.155)*$B$71))/$B$71)*B$81)/$B$67)&gt;3500,3500,(((($B$72-((SUM($B$16,$B$18,$B$20,$B$22)*0.155)*$B$71))/$B$71)*B$81)/$B$67))</f>
        <v>#DIV/0!</v>
      </c>
      <c r="C84" s="194" t="e">
        <f t="shared" si="18"/>
        <v>#DIV/0!</v>
      </c>
      <c r="D84" s="194" t="e">
        <f t="shared" si="18"/>
        <v>#DIV/0!</v>
      </c>
      <c r="E84" s="194" t="e">
        <f t="shared" si="18"/>
        <v>#DIV/0!</v>
      </c>
      <c r="F84" s="194" t="e">
        <f t="shared" si="18"/>
        <v>#DIV/0!</v>
      </c>
      <c r="G84" s="194" t="e">
        <f t="shared" si="18"/>
        <v>#DIV/0!</v>
      </c>
      <c r="H84" s="194" t="e">
        <f t="shared" si="18"/>
        <v>#DIV/0!</v>
      </c>
      <c r="I84" s="194" t="e">
        <f t="shared" si="18"/>
        <v>#DIV/0!</v>
      </c>
      <c r="J84" s="194" t="e">
        <f t="shared" si="18"/>
        <v>#DIV/0!</v>
      </c>
      <c r="K84" s="108" t="s">
        <v>152</v>
      </c>
    </row>
    <row r="85" spans="1:11" ht="14.4" customHeight="1" thickBot="1" x14ac:dyDescent="0.3">
      <c r="A85" s="17"/>
      <c r="E85" s="32"/>
    </row>
    <row r="86" spans="1:11" ht="14.4" customHeight="1" thickBot="1" x14ac:dyDescent="0.3">
      <c r="A86" s="8" t="s">
        <v>163</v>
      </c>
      <c r="B86" s="147"/>
      <c r="C86" s="147"/>
      <c r="D86" s="148"/>
      <c r="E86" s="32"/>
    </row>
    <row r="87" spans="1:11" ht="14.4" customHeight="1" x14ac:dyDescent="0.25">
      <c r="A87" s="158" t="s">
        <v>164</v>
      </c>
      <c r="B87" s="52">
        <f>$B$8</f>
        <v>1.5</v>
      </c>
      <c r="C87" s="52"/>
      <c r="D87" s="114" t="s">
        <v>131</v>
      </c>
      <c r="E87" s="32"/>
      <c r="H87" s="150" t="str">
        <f>IF(B87&lt;0.5,"Error: The Minimum Cable Seccion in the Loop is 0,5 mm2","")</f>
        <v/>
      </c>
    </row>
    <row r="88" spans="1:11" ht="14.4" customHeight="1" x14ac:dyDescent="0.25">
      <c r="A88" s="39" t="s">
        <v>165</v>
      </c>
      <c r="B88" s="60">
        <f>$B$9</f>
        <v>2000</v>
      </c>
      <c r="C88" s="60"/>
      <c r="D88" s="109" t="s">
        <v>131</v>
      </c>
      <c r="E88" s="32"/>
      <c r="H88" s="150" t="str">
        <f>IF(B88&gt;3500,"Error: The Maximum Lenght in the Line is 3500 meters","")</f>
        <v/>
      </c>
    </row>
    <row r="89" spans="1:11" ht="14.4" customHeight="1" x14ac:dyDescent="0.25">
      <c r="A89" s="39" t="s">
        <v>166</v>
      </c>
      <c r="B89" s="156">
        <f>((($B$67*B88)/B87)*2)+(SUM(B16,B18,B20,B22,)*0.155)</f>
        <v>45.866666666666667</v>
      </c>
      <c r="C89" s="60"/>
      <c r="D89" s="123" t="s">
        <v>153</v>
      </c>
      <c r="E89" s="32"/>
    </row>
    <row r="90" spans="1:11" ht="14.4" customHeight="1" thickBot="1" x14ac:dyDescent="0.3">
      <c r="A90" s="140" t="s">
        <v>167</v>
      </c>
      <c r="B90" s="155">
        <f>B89/2</f>
        <v>22.933333333333334</v>
      </c>
      <c r="C90" s="124"/>
      <c r="D90" s="125" t="s">
        <v>153</v>
      </c>
      <c r="E90" s="32"/>
    </row>
    <row r="91" spans="1:11" ht="14.4" customHeight="1" thickBot="1" x14ac:dyDescent="0.3">
      <c r="A91" s="170" t="s">
        <v>168</v>
      </c>
      <c r="B91" s="172">
        <f>$B$72/$B$90</f>
        <v>0.30087209302325585</v>
      </c>
      <c r="C91" s="171"/>
      <c r="D91" s="173" t="s">
        <v>9</v>
      </c>
      <c r="E91" s="32"/>
    </row>
    <row r="92" spans="1:11" ht="14.4" customHeight="1" thickBot="1" x14ac:dyDescent="0.3">
      <c r="A92" s="160" t="s">
        <v>134</v>
      </c>
      <c r="B92" s="147"/>
      <c r="C92" s="147"/>
      <c r="D92" s="148"/>
      <c r="E92" s="32"/>
    </row>
    <row r="93" spans="1:11" ht="14.4" customHeight="1" thickBot="1" x14ac:dyDescent="0.3">
      <c r="A93" s="160" t="s">
        <v>135</v>
      </c>
      <c r="B93" s="148"/>
      <c r="C93" s="11"/>
      <c r="D93" s="159" t="str">
        <f>IF($B$71&gt;0.4,"FAIL",IF($B$91&gt;=$B$71,"OK","FAIL"))</f>
        <v>OK</v>
      </c>
      <c r="E93" s="32"/>
      <c r="H93" s="150" t="str">
        <f>IF($B$71&gt;0.4,"Error: The Loop Current is upper that Maximum Current allowed",IF($B$91&lt;$B$71,"Error: The Loop Current is upper that Maximum Current allowed",""))</f>
        <v/>
      </c>
    </row>
    <row r="94" spans="1:11" ht="14.4" customHeight="1" thickBot="1" x14ac:dyDescent="0.3">
      <c r="A94" s="160" t="s">
        <v>136</v>
      </c>
      <c r="B94" s="148"/>
      <c r="C94" s="136"/>
      <c r="D94" s="157" t="str">
        <f>IF($L$63&lt;=250,"OK","FAIL")</f>
        <v>OK</v>
      </c>
      <c r="E94" s="32"/>
      <c r="H94" s="150" t="str">
        <f>IF($L$63&gt;250,"Error: The Loop cannot contain more than 250 addresses","")</f>
        <v/>
      </c>
    </row>
    <row r="95" spans="1:11" ht="14.4" customHeight="1" x14ac:dyDescent="0.25">
      <c r="A95" s="17"/>
      <c r="E95" s="32"/>
    </row>
    <row r="97" spans="1:12" ht="27" customHeight="1" x14ac:dyDescent="0.25">
      <c r="A97" s="238" t="s">
        <v>13</v>
      </c>
      <c r="B97" s="238"/>
      <c r="C97" s="238"/>
      <c r="D97" s="238"/>
      <c r="E97" s="238"/>
      <c r="F97" s="238"/>
      <c r="G97" s="238"/>
      <c r="H97" s="238"/>
      <c r="I97" s="238"/>
      <c r="J97" s="238"/>
      <c r="K97" s="238"/>
      <c r="L97" s="238"/>
    </row>
  </sheetData>
  <sheetProtection algorithmName="SHA-512" hashValue="5pFWqzfFdVZAcFlgv8pGdOBTnDKEZbZAbmMwyR4EARDfOwTmouEEgos9J47Z/Jfd7SpEPonhHE+KyuMfHHZ2+Q==" saltValue="FDRdLQtEO5KixPwvIDvViQ==" spinCount="100000" sheet="1" sort="0" autoFilter="0" pivotTables="0"/>
  <mergeCells count="5">
    <mergeCell ref="J7:K7"/>
    <mergeCell ref="G8:I9"/>
    <mergeCell ref="J8:K8"/>
    <mergeCell ref="J9:K9"/>
    <mergeCell ref="A97:L97"/>
  </mergeCells>
  <conditionalFormatting sqref="I43 N39:N42">
    <cfRule type="expression" dxfId="181" priority="24" stopIfTrue="1">
      <formula>$B$38&gt;2</formula>
    </cfRule>
    <cfRule type="expression" dxfId="180" priority="25" stopIfTrue="1">
      <formula>$B$38&lt;3</formula>
    </cfRule>
  </conditionalFormatting>
  <conditionalFormatting sqref="N35:N36">
    <cfRule type="expression" dxfId="179" priority="22" stopIfTrue="1">
      <formula>$B$37&gt;4</formula>
    </cfRule>
    <cfRule type="expression" dxfId="178" priority="23" stopIfTrue="1">
      <formula>$B$37&lt;5</formula>
    </cfRule>
  </conditionalFormatting>
  <conditionalFormatting sqref="N33">
    <cfRule type="expression" dxfId="177" priority="20" stopIfTrue="1">
      <formula>$B$38&gt;2</formula>
    </cfRule>
    <cfRule type="expression" dxfId="176" priority="21" stopIfTrue="1">
      <formula>$B$38&lt;3</formula>
    </cfRule>
  </conditionalFormatting>
  <conditionalFormatting sqref="N34">
    <cfRule type="expression" dxfId="175" priority="18" stopIfTrue="1">
      <formula>$B$38&gt;2</formula>
    </cfRule>
    <cfRule type="expression" dxfId="174" priority="19" stopIfTrue="1">
      <formula>$B$38&lt;3</formula>
    </cfRule>
  </conditionalFormatting>
  <conditionalFormatting sqref="N38">
    <cfRule type="expression" dxfId="173" priority="14" stopIfTrue="1">
      <formula>$B$38&gt;2</formula>
    </cfRule>
    <cfRule type="expression" dxfId="172" priority="15" stopIfTrue="1">
      <formula>$B$38&lt;3</formula>
    </cfRule>
  </conditionalFormatting>
  <conditionalFormatting sqref="N37">
    <cfRule type="expression" dxfId="171" priority="16" stopIfTrue="1">
      <formula>$B$38&gt;2</formula>
    </cfRule>
    <cfRule type="expression" dxfId="170" priority="17" stopIfTrue="1">
      <formula>$B$38&lt;3</formula>
    </cfRule>
  </conditionalFormatting>
  <conditionalFormatting sqref="J15:J45 J52:J62">
    <cfRule type="cellIs" dxfId="169" priority="13" operator="equal">
      <formula>0</formula>
    </cfRule>
  </conditionalFormatting>
  <conditionalFormatting sqref="L9">
    <cfRule type="cellIs" dxfId="168" priority="9" stopIfTrue="1" operator="equal">
      <formula>"FAIL"</formula>
    </cfRule>
  </conditionalFormatting>
  <conditionalFormatting sqref="D93">
    <cfRule type="cellIs" dxfId="167" priority="12" stopIfTrue="1" operator="equal">
      <formula>"FAIL"</formula>
    </cfRule>
  </conditionalFormatting>
  <conditionalFormatting sqref="D94">
    <cfRule type="cellIs" dxfId="166" priority="11" stopIfTrue="1" operator="equal">
      <formula>"FAIL"</formula>
    </cfRule>
  </conditionalFormatting>
  <conditionalFormatting sqref="L8">
    <cfRule type="cellIs" dxfId="165" priority="10" stopIfTrue="1" operator="equal">
      <formula>"FAIL"</formula>
    </cfRule>
  </conditionalFormatting>
  <conditionalFormatting sqref="B76:J77">
    <cfRule type="containsErrors" dxfId="164" priority="8">
      <formula>ISERROR(B76)</formula>
    </cfRule>
  </conditionalFormatting>
  <conditionalFormatting sqref="B82:J83">
    <cfRule type="containsErrors" dxfId="163" priority="7">
      <formula>ISERROR(B82)</formula>
    </cfRule>
  </conditionalFormatting>
  <conditionalFormatting sqref="B78">
    <cfRule type="containsErrors" dxfId="162" priority="26">
      <formula>ISERROR(B78)</formula>
    </cfRule>
  </conditionalFormatting>
  <conditionalFormatting sqref="D78:J78">
    <cfRule type="containsErrors" dxfId="161" priority="6">
      <formula>ISERROR(D78)</formula>
    </cfRule>
  </conditionalFormatting>
  <conditionalFormatting sqref="B84">
    <cfRule type="containsErrors" dxfId="160" priority="5">
      <formula>ISERROR(B84)</formula>
    </cfRule>
  </conditionalFormatting>
  <conditionalFormatting sqref="D84:J84">
    <cfRule type="containsErrors" dxfId="159" priority="4">
      <formula>ISERROR(D84)</formula>
    </cfRule>
  </conditionalFormatting>
  <conditionalFormatting sqref="N54">
    <cfRule type="expression" dxfId="158" priority="2" stopIfTrue="1">
      <formula>$B$37&gt;4</formula>
    </cfRule>
    <cfRule type="expression" dxfId="157" priority="3" stopIfTrue="1">
      <formula>$B$37&lt;5</formula>
    </cfRule>
  </conditionalFormatting>
  <conditionalFormatting sqref="J46:J51">
    <cfRule type="cellIs" dxfId="156" priority="1" operator="equal">
      <formula>0</formula>
    </cfRule>
  </conditionalFormatting>
  <pageMargins left="0.78740157480314965" right="0.39370078740157483" top="0.39370078740157483" bottom="0.39370078740157483" header="0" footer="0"/>
  <pageSetup paperSize="9" scale="87" orientation="portrait" horizontalDpi="1200" verticalDpi="1200" r:id="rId1"/>
  <headerFooter alignWithMargins="0"/>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69AC4B8C-4AD8-4043-B5A5-2BC6F6CB1A9C}">
          <x14:formula1>
            <xm:f>Datos!$F$16:$F$20</xm:f>
          </x14:formula1>
          <xm:sqref>B8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E8884-74B0-4527-88E4-855CDC58D71D}">
  <sheetPr codeName="Hoja5">
    <pageSetUpPr fitToPage="1"/>
  </sheetPr>
  <dimension ref="A1:N97"/>
  <sheetViews>
    <sheetView zoomScale="120" zoomScaleNormal="120" workbookViewId="0">
      <pane xSplit="12" ySplit="14" topLeftCell="M15" activePane="bottomRight" state="frozen"/>
      <selection activeCell="A64" sqref="A64"/>
      <selection pane="topRight" activeCell="A64" sqref="A64"/>
      <selection pane="bottomLeft" activeCell="A64" sqref="A64"/>
      <selection pane="bottomRight" activeCell="D15" sqref="D15"/>
    </sheetView>
  </sheetViews>
  <sheetFormatPr baseColWidth="10" defaultRowHeight="13.2" x14ac:dyDescent="0.25"/>
  <cols>
    <col min="1" max="1" width="35.109375" customWidth="1"/>
    <col min="2" max="2" width="10.6640625" customWidth="1"/>
    <col min="3" max="3" width="11.109375" hidden="1" customWidth="1"/>
    <col min="4" max="4" width="12.77734375" bestFit="1" customWidth="1"/>
    <col min="5" max="6" width="10.6640625" hidden="1" customWidth="1"/>
    <col min="7" max="7" width="10.5546875" bestFit="1" customWidth="1"/>
    <col min="8" max="8" width="10.6640625" customWidth="1"/>
    <col min="9" max="9" width="5.5546875" bestFit="1" customWidth="1"/>
    <col min="10" max="10" width="7" customWidth="1"/>
    <col min="11" max="11" width="6.44140625" customWidth="1"/>
    <col min="12" max="12" width="6.5546875" customWidth="1"/>
    <col min="14" max="16" width="11.5546875" customWidth="1"/>
  </cols>
  <sheetData>
    <row r="1" spans="1:14" x14ac:dyDescent="0.25">
      <c r="H1" s="1"/>
      <c r="I1" s="2"/>
      <c r="J1" s="2"/>
      <c r="K1" s="2"/>
    </row>
    <row r="2" spans="1:14" x14ac:dyDescent="0.25">
      <c r="H2" s="1"/>
      <c r="I2" s="2"/>
      <c r="J2" s="2"/>
      <c r="K2" s="2"/>
    </row>
    <row r="3" spans="1:14" ht="14.4" x14ac:dyDescent="0.3">
      <c r="A3" s="3"/>
      <c r="H3" s="1"/>
      <c r="I3" s="2"/>
      <c r="J3" s="2"/>
      <c r="K3" s="2"/>
    </row>
    <row r="4" spans="1:14" ht="14.4" x14ac:dyDescent="0.3">
      <c r="A4" s="3"/>
      <c r="H4" s="1"/>
      <c r="I4" s="2"/>
      <c r="J4" s="2"/>
      <c r="K4" s="2"/>
    </row>
    <row r="5" spans="1:14" s="7" customFormat="1" ht="13.8" thickBot="1" x14ac:dyDescent="0.3">
      <c r="A5" s="4" t="str">
        <f>'System Calculation'!A7</f>
        <v>SYSTEM CALCULATOR DETNOV CAD-150 EXCEL TOOL</v>
      </c>
      <c r="B5" s="4"/>
      <c r="C5" s="4"/>
      <c r="D5" s="4"/>
      <c r="E5" s="4"/>
      <c r="F5" s="4"/>
      <c r="G5" s="4"/>
      <c r="H5" s="6"/>
      <c r="I5" s="5"/>
      <c r="J5" s="5"/>
      <c r="K5" s="5"/>
      <c r="L5" s="16" t="str">
        <f>'System Calculation'!J7</f>
        <v>SC 116 en 2019 f</v>
      </c>
    </row>
    <row r="6" spans="1:14" s="7" customFormat="1" ht="13.8" thickBot="1" x14ac:dyDescent="0.3">
      <c r="B6" s="29"/>
      <c r="C6" s="29"/>
      <c r="D6" s="29"/>
      <c r="E6" s="29"/>
      <c r="F6" s="29"/>
      <c r="G6" s="29"/>
      <c r="H6" s="36"/>
      <c r="I6" s="37"/>
      <c r="J6" s="37"/>
      <c r="K6" s="37"/>
      <c r="L6" s="38"/>
    </row>
    <row r="7" spans="1:14" s="7" customFormat="1" ht="13.8" thickBot="1" x14ac:dyDescent="0.3">
      <c r="A7" s="19" t="s">
        <v>62</v>
      </c>
      <c r="B7" s="115"/>
      <c r="C7" s="115"/>
      <c r="D7" s="116"/>
      <c r="E7" s="29"/>
      <c r="F7" s="29"/>
      <c r="G7" s="29"/>
      <c r="H7" s="36"/>
      <c r="J7" s="239" t="s">
        <v>134</v>
      </c>
      <c r="K7" s="243"/>
      <c r="L7" s="135"/>
      <c r="M7" s="38"/>
    </row>
    <row r="8" spans="1:14" s="7" customFormat="1" ht="13.8" thickBot="1" x14ac:dyDescent="0.3">
      <c r="A8" s="111" t="s">
        <v>129</v>
      </c>
      <c r="B8" s="117">
        <v>1.5</v>
      </c>
      <c r="C8" s="113"/>
      <c r="D8" s="114" t="s">
        <v>131</v>
      </c>
      <c r="E8" s="29"/>
      <c r="F8" s="29"/>
      <c r="G8" s="244" t="str">
        <f>IF(B9&gt;3500,"Error: The Maximum Lenght in the Line is 3500 m","")</f>
        <v/>
      </c>
      <c r="H8" s="244"/>
      <c r="I8" s="245"/>
      <c r="J8" s="239" t="s">
        <v>135</v>
      </c>
      <c r="K8" s="240"/>
      <c r="L8" s="159" t="str">
        <f>IF($B$71&gt;0.4,"FAIL",IF($B$91&gt;=$B$71,"OK","FAIL"))</f>
        <v>OK</v>
      </c>
      <c r="N8" s="150" t="str">
        <f>IF($B$71&gt;0.4,"Error: The Loop Current is upper that Maximum Current allowed",IF($B$91&lt;$B$71,"Error: The Loop Current is upper that Maximum Current allowed",""))</f>
        <v/>
      </c>
    </row>
    <row r="9" spans="1:14" s="7" customFormat="1" ht="13.8" thickBot="1" x14ac:dyDescent="0.3">
      <c r="A9" s="26" t="s">
        <v>130</v>
      </c>
      <c r="B9" s="118">
        <v>2000</v>
      </c>
      <c r="C9" s="110"/>
      <c r="D9" s="34" t="s">
        <v>132</v>
      </c>
      <c r="E9" s="29"/>
      <c r="F9" s="29"/>
      <c r="G9" s="244"/>
      <c r="H9" s="244"/>
      <c r="I9" s="245"/>
      <c r="J9" s="241" t="s">
        <v>136</v>
      </c>
      <c r="K9" s="242"/>
      <c r="L9" s="157" t="str">
        <f>IF($L$63&lt;=250,"OK","FAIL")</f>
        <v>OK</v>
      </c>
      <c r="N9" s="150" t="str">
        <f>IF($L$63&gt;250,"Error: The Loop cannot contain more than 250 addresses","")</f>
        <v/>
      </c>
    </row>
    <row r="10" spans="1:14" s="7" customFormat="1" x14ac:dyDescent="0.25">
      <c r="A10" s="149" t="s">
        <v>150</v>
      </c>
      <c r="B10" s="29"/>
      <c r="C10" s="29"/>
      <c r="D10" s="29"/>
      <c r="E10" s="29"/>
      <c r="F10" s="29"/>
      <c r="G10" s="29"/>
      <c r="H10" s="36"/>
      <c r="I10" s="37"/>
      <c r="J10" s="37"/>
      <c r="K10" s="37"/>
      <c r="L10" s="38"/>
    </row>
    <row r="11" spans="1:14" s="7" customFormat="1" x14ac:dyDescent="0.25">
      <c r="A11" s="149"/>
      <c r="B11" s="29"/>
      <c r="C11" s="29"/>
      <c r="D11" s="29"/>
      <c r="E11" s="29"/>
      <c r="F11" s="29"/>
      <c r="G11" s="29"/>
      <c r="H11" s="36"/>
      <c r="I11" s="37"/>
      <c r="J11" s="37"/>
      <c r="K11" s="37"/>
      <c r="L11" s="38"/>
    </row>
    <row r="12" spans="1:14" ht="13.8" thickBot="1" x14ac:dyDescent="0.3">
      <c r="B12" s="40" t="s">
        <v>10</v>
      </c>
      <c r="C12" s="15" t="s">
        <v>10</v>
      </c>
    </row>
    <row r="13" spans="1:14" ht="13.8" thickBot="1" x14ac:dyDescent="0.3">
      <c r="A13" s="8" t="s">
        <v>174</v>
      </c>
      <c r="B13" s="9"/>
      <c r="C13" s="9"/>
      <c r="D13" s="9"/>
      <c r="E13" s="9"/>
      <c r="F13" s="9"/>
      <c r="G13" s="9"/>
      <c r="H13" s="147"/>
      <c r="I13" s="147"/>
      <c r="J13" s="147"/>
      <c r="K13" s="147"/>
      <c r="L13" s="148"/>
    </row>
    <row r="14" spans="1:14" s="7" customFormat="1" ht="13.8" thickBot="1" x14ac:dyDescent="0.3">
      <c r="A14" s="143" t="s">
        <v>0</v>
      </c>
      <c r="B14" s="144" t="s">
        <v>1</v>
      </c>
      <c r="C14" s="144" t="s">
        <v>38</v>
      </c>
      <c r="D14" s="144" t="s">
        <v>38</v>
      </c>
      <c r="E14" s="144" t="s">
        <v>110</v>
      </c>
      <c r="F14" s="144" t="s">
        <v>39</v>
      </c>
      <c r="G14" s="144" t="s">
        <v>39</v>
      </c>
      <c r="H14" s="145" t="s">
        <v>133</v>
      </c>
      <c r="I14" s="145" t="s">
        <v>146</v>
      </c>
      <c r="J14" s="145" t="s">
        <v>147</v>
      </c>
      <c r="K14" s="145" t="s">
        <v>148</v>
      </c>
      <c r="L14" s="146" t="s">
        <v>149</v>
      </c>
    </row>
    <row r="15" spans="1:14" x14ac:dyDescent="0.25">
      <c r="A15" s="132" t="str">
        <f>'SC_Loop 1'!A15</f>
        <v>DOD-220A</v>
      </c>
      <c r="B15" s="112"/>
      <c r="C15" s="198">
        <f>'SC_Loop 1'!C15</f>
        <v>2.9999999999999997E-4</v>
      </c>
      <c r="D15" s="133">
        <f>B15*C15</f>
        <v>0</v>
      </c>
      <c r="E15" s="234">
        <f>IF(B15&gt;10,10,B15)</f>
        <v>0</v>
      </c>
      <c r="F15" s="198">
        <f>'SC_Loop 1'!F15</f>
        <v>3.0000000000000001E-3</v>
      </c>
      <c r="G15" s="133">
        <f>E15*F15</f>
        <v>0</v>
      </c>
      <c r="H15" s="52"/>
      <c r="I15" s="52" t="str">
        <f t="shared" ref="I15:I26" si="0">IF(B15&lt;&gt;0,B15," ")</f>
        <v xml:space="preserve"> </v>
      </c>
      <c r="J15" s="52"/>
      <c r="K15" s="52"/>
      <c r="L15" s="134" t="str">
        <f>IF(I15&lt;&gt;0,I15," ")</f>
        <v xml:space="preserve"> </v>
      </c>
    </row>
    <row r="16" spans="1:14" x14ac:dyDescent="0.25">
      <c r="A16" s="22" t="str">
        <f>'SC_Loop 1'!A16</f>
        <v>DOD-220A-I</v>
      </c>
      <c r="B16" s="23"/>
      <c r="C16" s="24">
        <f>'SC_Loop 1'!C16</f>
        <v>2.9999999999999997E-4</v>
      </c>
      <c r="D16" s="68">
        <f>B16*C16</f>
        <v>0</v>
      </c>
      <c r="E16" s="234">
        <f t="shared" ref="E16:E22" si="1">IF(B16&gt;10,10,B16)</f>
        <v>0</v>
      </c>
      <c r="F16" s="24">
        <f>'SC_Loop 1'!F16</f>
        <v>3.0000000000000001E-3</v>
      </c>
      <c r="G16" s="68">
        <f>E16*F16</f>
        <v>0</v>
      </c>
      <c r="H16" s="60"/>
      <c r="I16" s="60" t="str">
        <f t="shared" si="0"/>
        <v xml:space="preserve"> </v>
      </c>
      <c r="J16" s="60"/>
      <c r="K16" s="60"/>
      <c r="L16" s="123" t="str">
        <f t="shared" ref="L16:L26" si="2">IF(I16&lt;&gt;0,I16," ")</f>
        <v xml:space="preserve"> </v>
      </c>
    </row>
    <row r="17" spans="1:12" x14ac:dyDescent="0.25">
      <c r="A17" s="22" t="str">
        <f>'SC_Loop 1'!A17</f>
        <v>DOTD-230A</v>
      </c>
      <c r="B17" s="23"/>
      <c r="C17" s="24">
        <f>'SC_Loop 1'!C17</f>
        <v>2.9999999999999997E-4</v>
      </c>
      <c r="D17" s="68">
        <f t="shared" ref="D17:D62" si="3">B17*C17</f>
        <v>0</v>
      </c>
      <c r="E17" s="234">
        <f t="shared" si="1"/>
        <v>0</v>
      </c>
      <c r="F17" s="24">
        <f>'SC_Loop 1'!F17</f>
        <v>3.0000000000000001E-3</v>
      </c>
      <c r="G17" s="68">
        <f t="shared" ref="G17:G62" si="4">E17*F17</f>
        <v>0</v>
      </c>
      <c r="H17" s="60"/>
      <c r="I17" s="60" t="str">
        <f t="shared" si="0"/>
        <v xml:space="preserve"> </v>
      </c>
      <c r="J17" s="60"/>
      <c r="K17" s="60"/>
      <c r="L17" s="123" t="str">
        <f t="shared" si="2"/>
        <v xml:space="preserve"> </v>
      </c>
    </row>
    <row r="18" spans="1:12" x14ac:dyDescent="0.25">
      <c r="A18" s="22" t="str">
        <f>'SC_Loop 1'!A18</f>
        <v>DOTD-230A-I</v>
      </c>
      <c r="B18" s="23"/>
      <c r="C18" s="24">
        <f>'SC_Loop 1'!C18</f>
        <v>2.9999999999999997E-4</v>
      </c>
      <c r="D18" s="68">
        <f t="shared" si="3"/>
        <v>0</v>
      </c>
      <c r="E18" s="234">
        <f t="shared" si="1"/>
        <v>0</v>
      </c>
      <c r="F18" s="24">
        <f>'SC_Loop 1'!F18</f>
        <v>3.0000000000000001E-3</v>
      </c>
      <c r="G18" s="68">
        <f t="shared" si="4"/>
        <v>0</v>
      </c>
      <c r="H18" s="60"/>
      <c r="I18" s="60" t="str">
        <f t="shared" si="0"/>
        <v xml:space="preserve"> </v>
      </c>
      <c r="J18" s="60"/>
      <c r="K18" s="60"/>
      <c r="L18" s="123" t="str">
        <f t="shared" si="2"/>
        <v xml:space="preserve"> </v>
      </c>
    </row>
    <row r="19" spans="1:12" x14ac:dyDescent="0.25">
      <c r="A19" s="22" t="str">
        <f>'SC_Loop 1'!A19</f>
        <v>DTD-210A</v>
      </c>
      <c r="B19" s="23"/>
      <c r="C19" s="24">
        <f>'SC_Loop 1'!C19</f>
        <v>2.9999999999999997E-4</v>
      </c>
      <c r="D19" s="68">
        <f t="shared" si="3"/>
        <v>0</v>
      </c>
      <c r="E19" s="234">
        <f t="shared" si="1"/>
        <v>0</v>
      </c>
      <c r="F19" s="24">
        <f>'SC_Loop 1'!F19</f>
        <v>3.0000000000000001E-3</v>
      </c>
      <c r="G19" s="68">
        <f t="shared" si="4"/>
        <v>0</v>
      </c>
      <c r="H19" s="60"/>
      <c r="I19" s="60" t="str">
        <f t="shared" si="0"/>
        <v xml:space="preserve"> </v>
      </c>
      <c r="J19" s="60"/>
      <c r="K19" s="60"/>
      <c r="L19" s="123" t="str">
        <f t="shared" si="2"/>
        <v xml:space="preserve"> </v>
      </c>
    </row>
    <row r="20" spans="1:12" x14ac:dyDescent="0.25">
      <c r="A20" s="22" t="str">
        <f>'SC_Loop 1'!A20</f>
        <v>DTD-210A-I</v>
      </c>
      <c r="B20" s="23"/>
      <c r="C20" s="24">
        <f>'SC_Loop 1'!C20</f>
        <v>2.9999999999999997E-4</v>
      </c>
      <c r="D20" s="68">
        <f t="shared" si="3"/>
        <v>0</v>
      </c>
      <c r="E20" s="234">
        <f t="shared" si="1"/>
        <v>0</v>
      </c>
      <c r="F20" s="24">
        <f>'SC_Loop 1'!F20</f>
        <v>3.0000000000000001E-3</v>
      </c>
      <c r="G20" s="68">
        <f t="shared" si="4"/>
        <v>0</v>
      </c>
      <c r="H20" s="60"/>
      <c r="I20" s="60" t="str">
        <f t="shared" si="0"/>
        <v xml:space="preserve"> </v>
      </c>
      <c r="J20" s="60"/>
      <c r="K20" s="60"/>
      <c r="L20" s="123" t="str">
        <f t="shared" si="2"/>
        <v xml:space="preserve"> </v>
      </c>
    </row>
    <row r="21" spans="1:12" x14ac:dyDescent="0.25">
      <c r="A21" s="22" t="str">
        <f>'SC_Loop 1'!A21</f>
        <v>DTD-215A</v>
      </c>
      <c r="B21" s="23"/>
      <c r="C21" s="24">
        <f>'SC_Loop 1'!C21</f>
        <v>2.9999999999999997E-4</v>
      </c>
      <c r="D21" s="68">
        <f t="shared" si="3"/>
        <v>0</v>
      </c>
      <c r="E21" s="234">
        <f t="shared" si="1"/>
        <v>0</v>
      </c>
      <c r="F21" s="24">
        <f>'SC_Loop 1'!F21</f>
        <v>3.0000000000000001E-3</v>
      </c>
      <c r="G21" s="68">
        <f t="shared" si="4"/>
        <v>0</v>
      </c>
      <c r="H21" s="60"/>
      <c r="I21" s="60" t="str">
        <f t="shared" si="0"/>
        <v xml:space="preserve"> </v>
      </c>
      <c r="J21" s="60"/>
      <c r="K21" s="60"/>
      <c r="L21" s="123" t="str">
        <f t="shared" si="2"/>
        <v xml:space="preserve"> </v>
      </c>
    </row>
    <row r="22" spans="1:12" x14ac:dyDescent="0.25">
      <c r="A22" s="22" t="str">
        <f>'SC_Loop 1'!A22</f>
        <v>DTD-215A-I</v>
      </c>
      <c r="B22" s="23"/>
      <c r="C22" s="24">
        <f>'SC_Loop 1'!C22</f>
        <v>2.9999999999999997E-4</v>
      </c>
      <c r="D22" s="68">
        <f t="shared" si="3"/>
        <v>0</v>
      </c>
      <c r="E22" s="234">
        <f t="shared" si="1"/>
        <v>0</v>
      </c>
      <c r="F22" s="24">
        <f>'SC_Loop 1'!F22</f>
        <v>3.0000000000000001E-3</v>
      </c>
      <c r="G22" s="68">
        <f t="shared" si="4"/>
        <v>0</v>
      </c>
      <c r="H22" s="60"/>
      <c r="I22" s="60" t="str">
        <f t="shared" si="0"/>
        <v xml:space="preserve"> </v>
      </c>
      <c r="J22" s="60"/>
      <c r="K22" s="60"/>
      <c r="L22" s="123" t="str">
        <f t="shared" si="2"/>
        <v xml:space="preserve"> </v>
      </c>
    </row>
    <row r="23" spans="1:12" x14ac:dyDescent="0.25">
      <c r="A23" s="22" t="str">
        <f>'SC_Loop 1'!A23</f>
        <v>DGD-600</v>
      </c>
      <c r="B23" s="23"/>
      <c r="C23" s="24">
        <f>'SC_Loop 1'!C23</f>
        <v>9.1E-4</v>
      </c>
      <c r="D23" s="68">
        <f t="shared" si="3"/>
        <v>0</v>
      </c>
      <c r="E23" s="234">
        <f>IF(B23&gt;10,10,B23)</f>
        <v>0</v>
      </c>
      <c r="F23" s="24">
        <f>'SC_Loop 1'!F23</f>
        <v>1.1000000000000001E-3</v>
      </c>
      <c r="G23" s="68">
        <f t="shared" si="4"/>
        <v>0</v>
      </c>
      <c r="H23" s="60"/>
      <c r="I23" s="60" t="str">
        <f t="shared" si="0"/>
        <v xml:space="preserve"> </v>
      </c>
      <c r="J23" s="60"/>
      <c r="K23" s="60"/>
      <c r="L23" s="123" t="str">
        <f t="shared" si="2"/>
        <v xml:space="preserve"> </v>
      </c>
    </row>
    <row r="24" spans="1:12" x14ac:dyDescent="0.25">
      <c r="A24" s="22" t="str">
        <f>'SC_Loop 1'!A24</f>
        <v>DGD-600-AC</v>
      </c>
      <c r="B24" s="23"/>
      <c r="C24" s="24">
        <f>'SC_Loop 1'!C24</f>
        <v>9.1E-4</v>
      </c>
      <c r="D24" s="68">
        <f t="shared" si="3"/>
        <v>0</v>
      </c>
      <c r="E24" s="234">
        <f t="shared" ref="E24:E26" si="5">IF(B24&gt;10,10,B24)</f>
        <v>0</v>
      </c>
      <c r="F24" s="24">
        <f>'SC_Loop 1'!F24</f>
        <v>1.1000000000000001E-3</v>
      </c>
      <c r="G24" s="68">
        <f t="shared" si="4"/>
        <v>0</v>
      </c>
      <c r="H24" s="60"/>
      <c r="I24" s="60" t="str">
        <f t="shared" si="0"/>
        <v xml:space="preserve"> </v>
      </c>
      <c r="J24" s="60"/>
      <c r="K24" s="60"/>
      <c r="L24" s="123" t="str">
        <f t="shared" si="2"/>
        <v xml:space="preserve"> </v>
      </c>
    </row>
    <row r="25" spans="1:12" x14ac:dyDescent="0.25">
      <c r="A25" s="22" t="str">
        <f>'SC_Loop 1'!A25</f>
        <v>DGD-620</v>
      </c>
      <c r="B25" s="23"/>
      <c r="C25" s="24">
        <f>'SC_Loop 1'!C25</f>
        <v>9.1E-4</v>
      </c>
      <c r="D25" s="68">
        <f t="shared" si="3"/>
        <v>0</v>
      </c>
      <c r="E25" s="234">
        <f t="shared" si="5"/>
        <v>0</v>
      </c>
      <c r="F25" s="24">
        <f>'SC_Loop 1'!F25</f>
        <v>1.1000000000000001E-3</v>
      </c>
      <c r="G25" s="68">
        <f t="shared" si="4"/>
        <v>0</v>
      </c>
      <c r="H25" s="60"/>
      <c r="I25" s="60" t="str">
        <f t="shared" si="0"/>
        <v xml:space="preserve"> </v>
      </c>
      <c r="J25" s="60"/>
      <c r="K25" s="60"/>
      <c r="L25" s="123" t="str">
        <f t="shared" si="2"/>
        <v xml:space="preserve"> </v>
      </c>
    </row>
    <row r="26" spans="1:12" x14ac:dyDescent="0.25">
      <c r="A26" s="22" t="str">
        <f>'SC_Loop 1'!A26</f>
        <v>DGD-620-AC</v>
      </c>
      <c r="B26" s="23"/>
      <c r="C26" s="24">
        <f>'SC_Loop 1'!C26</f>
        <v>9.1E-4</v>
      </c>
      <c r="D26" s="68">
        <f t="shared" si="3"/>
        <v>0</v>
      </c>
      <c r="E26" s="234">
        <f t="shared" si="5"/>
        <v>0</v>
      </c>
      <c r="F26" s="24">
        <f>'SC_Loop 1'!F26</f>
        <v>1.1000000000000001E-3</v>
      </c>
      <c r="G26" s="68">
        <f t="shared" si="4"/>
        <v>0</v>
      </c>
      <c r="H26" s="60"/>
      <c r="I26" s="60" t="str">
        <f t="shared" si="0"/>
        <v xml:space="preserve"> </v>
      </c>
      <c r="J26" s="60"/>
      <c r="K26" s="60"/>
      <c r="L26" s="123" t="str">
        <f t="shared" si="2"/>
        <v xml:space="preserve"> </v>
      </c>
    </row>
    <row r="27" spans="1:12" x14ac:dyDescent="0.25">
      <c r="A27" s="22" t="str">
        <f>'SC_Loop 1'!A27</f>
        <v>MAD-401 &amp; MAD-401-I</v>
      </c>
      <c r="B27" s="23"/>
      <c r="C27" s="24">
        <f>'SC_Loop 1'!C27</f>
        <v>2.9999999999999997E-4</v>
      </c>
      <c r="D27" s="68">
        <f t="shared" si="3"/>
        <v>0</v>
      </c>
      <c r="E27" s="233">
        <f>B27*'System Calculation'!$I$14</f>
        <v>0</v>
      </c>
      <c r="F27" s="24">
        <f>'SC_Loop 1'!F27</f>
        <v>3.0000000000000001E-3</v>
      </c>
      <c r="G27" s="68">
        <f t="shared" si="4"/>
        <v>0</v>
      </c>
      <c r="H27" s="60"/>
      <c r="I27" s="60"/>
      <c r="J27" s="60" t="str">
        <f>IF(B27&lt;&gt;0,B27," ")</f>
        <v xml:space="preserve"> </v>
      </c>
      <c r="K27" s="60"/>
      <c r="L27" s="123" t="str">
        <f>IF(J27&lt;&gt;0,J27," ")</f>
        <v xml:space="preserve"> </v>
      </c>
    </row>
    <row r="28" spans="1:12" x14ac:dyDescent="0.25">
      <c r="A28" s="22" t="str">
        <f>'SC_Loop 1'!A28</f>
        <v>MAD-402 &amp; MAD-402-I</v>
      </c>
      <c r="B28" s="23"/>
      <c r="C28" s="24">
        <f>'SC_Loop 1'!C28</f>
        <v>2.9999999999999997E-4</v>
      </c>
      <c r="D28" s="68">
        <f t="shared" si="3"/>
        <v>0</v>
      </c>
      <c r="E28" s="233">
        <f>B28*'System Calculation'!$I$14</f>
        <v>0</v>
      </c>
      <c r="F28" s="24">
        <f>'SC_Loop 1'!F28</f>
        <v>3.0000000000000001E-3</v>
      </c>
      <c r="G28" s="68">
        <f t="shared" si="4"/>
        <v>0</v>
      </c>
      <c r="H28" s="60"/>
      <c r="I28" s="60"/>
      <c r="J28" s="60">
        <f>IF(B28&lt;&gt;0,B28,0)</f>
        <v>0</v>
      </c>
      <c r="K28" s="60"/>
      <c r="L28" s="123" t="str">
        <f>IF(J28&lt;&gt;0,2*J28," ")</f>
        <v xml:space="preserve"> </v>
      </c>
    </row>
    <row r="29" spans="1:12" x14ac:dyDescent="0.25">
      <c r="A29" s="22" t="str">
        <f>'SC_Loop 1'!A29</f>
        <v>MAD-405-I</v>
      </c>
      <c r="B29" s="23"/>
      <c r="C29" s="24">
        <f>'SC_Loop 1'!C29</f>
        <v>2.9999999999999997E-4</v>
      </c>
      <c r="D29" s="68">
        <f t="shared" si="3"/>
        <v>0</v>
      </c>
      <c r="E29" s="233">
        <f>B29*'System Calculation'!$I$14</f>
        <v>0</v>
      </c>
      <c r="F29" s="24">
        <f>'SC_Loop 1'!F29</f>
        <v>3.0000000000000001E-3</v>
      </c>
      <c r="G29" s="68">
        <f t="shared" si="4"/>
        <v>0</v>
      </c>
      <c r="H29" s="60"/>
      <c r="I29" s="60"/>
      <c r="J29" s="60">
        <f>IF(B29&lt;&gt;0,B29,0)</f>
        <v>0</v>
      </c>
      <c r="K29" s="60"/>
      <c r="L29" s="123" t="str">
        <f>IF(J29&lt;&gt;0,5*J29," ")</f>
        <v xml:space="preserve"> </v>
      </c>
    </row>
    <row r="30" spans="1:12" x14ac:dyDescent="0.25">
      <c r="A30" s="22" t="str">
        <f>'SC_Loop 1'!A30</f>
        <v>MAD-409-I</v>
      </c>
      <c r="B30" s="23"/>
      <c r="C30" s="24">
        <f>'SC_Loop 1'!C30</f>
        <v>2.9999999999999997E-4</v>
      </c>
      <c r="D30" s="68">
        <f t="shared" si="3"/>
        <v>0</v>
      </c>
      <c r="E30" s="233">
        <f>B30*'System Calculation'!$I$14</f>
        <v>0</v>
      </c>
      <c r="F30" s="24">
        <f>'SC_Loop 1'!F30</f>
        <v>3.0000000000000001E-3</v>
      </c>
      <c r="G30" s="68">
        <f t="shared" si="4"/>
        <v>0</v>
      </c>
      <c r="H30" s="60"/>
      <c r="I30" s="60"/>
      <c r="J30" s="60">
        <f>IF(B30&lt;&gt;0,B30,0)</f>
        <v>0</v>
      </c>
      <c r="K30" s="60"/>
      <c r="L30" s="123" t="str">
        <f>IF(J30&lt;&gt;0,10*J30," ")</f>
        <v xml:space="preserve"> </v>
      </c>
    </row>
    <row r="31" spans="1:12" x14ac:dyDescent="0.25">
      <c r="A31" s="22" t="str">
        <f>'SC_Loop 1'!A31</f>
        <v>MAD-411 &amp; MAD-411-I</v>
      </c>
      <c r="B31" s="23"/>
      <c r="C31" s="24">
        <f>'SC_Loop 1'!C31</f>
        <v>2.9999999999999997E-4</v>
      </c>
      <c r="D31" s="68">
        <f t="shared" si="3"/>
        <v>0</v>
      </c>
      <c r="E31" s="233">
        <f>B31*'System Calculation'!$I$14</f>
        <v>0</v>
      </c>
      <c r="F31" s="24">
        <f>'SC_Loop 1'!F31</f>
        <v>3.0000000000000001E-3</v>
      </c>
      <c r="G31" s="68">
        <f t="shared" si="4"/>
        <v>0</v>
      </c>
      <c r="H31" s="60"/>
      <c r="I31" s="60"/>
      <c r="J31" s="60" t="str">
        <f>IF(B31&lt;&gt;0,B31," ")</f>
        <v xml:space="preserve"> </v>
      </c>
      <c r="K31" s="60"/>
      <c r="L31" s="123" t="str">
        <f>IF(J31&lt;&gt;0,J31," ")</f>
        <v xml:space="preserve"> </v>
      </c>
    </row>
    <row r="32" spans="1:12" x14ac:dyDescent="0.25">
      <c r="A32" s="22" t="str">
        <f>'SC_Loop 1'!A32</f>
        <v>MAD-412 &amp; MAD-412-I</v>
      </c>
      <c r="B32" s="23"/>
      <c r="C32" s="24">
        <f>'SC_Loop 1'!C32</f>
        <v>2.9999999999999997E-4</v>
      </c>
      <c r="D32" s="68">
        <f t="shared" si="3"/>
        <v>0</v>
      </c>
      <c r="E32" s="233">
        <f>B32*'System Calculation'!$I$14</f>
        <v>0</v>
      </c>
      <c r="F32" s="24">
        <f>'SC_Loop 1'!F32</f>
        <v>3.0000000000000001E-3</v>
      </c>
      <c r="G32" s="68">
        <f t="shared" si="4"/>
        <v>0</v>
      </c>
      <c r="H32" s="60"/>
      <c r="I32" s="60"/>
      <c r="J32" s="60">
        <f t="shared" ref="J32:J38" si="6">IF(B32&lt;&gt;0,B32,0)</f>
        <v>0</v>
      </c>
      <c r="K32" s="60"/>
      <c r="L32" s="123" t="str">
        <f>IF(J32&lt;&gt;0,2*J32," ")</f>
        <v xml:space="preserve"> </v>
      </c>
    </row>
    <row r="33" spans="1:14" x14ac:dyDescent="0.25">
      <c r="A33" s="22" t="str">
        <f>'SC_Loop 1'!A33</f>
        <v>MAD-415-I</v>
      </c>
      <c r="B33" s="23"/>
      <c r="C33" s="24">
        <f>'SC_Loop 1'!C33</f>
        <v>2.9999999999999997E-4</v>
      </c>
      <c r="D33" s="68">
        <f t="shared" si="3"/>
        <v>0</v>
      </c>
      <c r="E33" s="233">
        <f>B33*'System Calculation'!$I$14</f>
        <v>0</v>
      </c>
      <c r="F33" s="24">
        <f>'SC_Loop 1'!F33</f>
        <v>3.0000000000000001E-3</v>
      </c>
      <c r="G33" s="68">
        <f t="shared" si="4"/>
        <v>0</v>
      </c>
      <c r="H33" s="60"/>
      <c r="I33" s="60"/>
      <c r="J33" s="60">
        <f t="shared" si="6"/>
        <v>0</v>
      </c>
      <c r="K33" s="60"/>
      <c r="L33" s="123" t="str">
        <f>IF(J33&lt;&gt;0,5*J33," ")</f>
        <v xml:space="preserve"> </v>
      </c>
      <c r="N33" s="195" t="str">
        <f>IF(AND(B33&gt;0),"Info: External 24V needed. Control Panel could provide from 24Vaux, if 500mA maximum current isn't exceeded."," ")</f>
        <v xml:space="preserve"> </v>
      </c>
    </row>
    <row r="34" spans="1:14" x14ac:dyDescent="0.25">
      <c r="A34" s="22" t="str">
        <f>'SC_Loop 1'!A34</f>
        <v>MAD-419-I</v>
      </c>
      <c r="B34" s="23"/>
      <c r="C34" s="24">
        <f>'SC_Loop 1'!C34</f>
        <v>2.9999999999999997E-4</v>
      </c>
      <c r="D34" s="68">
        <f t="shared" si="3"/>
        <v>0</v>
      </c>
      <c r="E34" s="233">
        <f>B34*'System Calculation'!$I$14</f>
        <v>0</v>
      </c>
      <c r="F34" s="24">
        <f>'SC_Loop 1'!F34</f>
        <v>3.0000000000000001E-3</v>
      </c>
      <c r="G34" s="68">
        <f t="shared" si="4"/>
        <v>0</v>
      </c>
      <c r="H34" s="60"/>
      <c r="I34" s="60"/>
      <c r="J34" s="60">
        <f t="shared" si="6"/>
        <v>0</v>
      </c>
      <c r="K34" s="60"/>
      <c r="L34" s="123" t="str">
        <f>IF(J34&lt;&gt;0,10*J34," ")</f>
        <v xml:space="preserve"> </v>
      </c>
      <c r="N34" s="41" t="str">
        <f>IF(AND(B34&gt;0),"Info: External 24V needed. Control Panel could provide from 24Vaux, if 500mA maximum current isn't exceeded."," ")</f>
        <v xml:space="preserve"> </v>
      </c>
    </row>
    <row r="35" spans="1:14" x14ac:dyDescent="0.25">
      <c r="A35" s="22" t="str">
        <f>'SC_Loop 1'!A35</f>
        <v>MAD-421 &amp; MAD-421-I</v>
      </c>
      <c r="B35" s="23"/>
      <c r="C35" s="24">
        <f>'SC_Loop 1'!C35</f>
        <v>2.9999999999999997E-4</v>
      </c>
      <c r="D35" s="68">
        <f t="shared" si="3"/>
        <v>0</v>
      </c>
      <c r="E35" s="233">
        <f>B35*'System Calculation'!$I$14</f>
        <v>0</v>
      </c>
      <c r="F35" s="24">
        <f>'SC_Loop 1'!F35</f>
        <v>3.0000000000000001E-3</v>
      </c>
      <c r="G35" s="68">
        <f t="shared" si="4"/>
        <v>0</v>
      </c>
      <c r="H35" s="60"/>
      <c r="I35" s="60"/>
      <c r="J35" s="60">
        <f t="shared" si="6"/>
        <v>0</v>
      </c>
      <c r="K35" s="60"/>
      <c r="L35" s="123" t="str">
        <f>IF(J35&lt;&gt;0,2*J35," ")</f>
        <v xml:space="preserve"> </v>
      </c>
      <c r="N35" s="41"/>
    </row>
    <row r="36" spans="1:14" x14ac:dyDescent="0.25">
      <c r="A36" s="22" t="str">
        <f>'SC_Loop 1'!A36</f>
        <v>MAD-422 &amp; MAD-422-I</v>
      </c>
      <c r="B36" s="23"/>
      <c r="C36" s="24">
        <f>'SC_Loop 1'!C36</f>
        <v>2.9999999999999997E-4</v>
      </c>
      <c r="D36" s="68">
        <f t="shared" si="3"/>
        <v>0</v>
      </c>
      <c r="E36" s="233">
        <f>B36*'System Calculation'!$I$14</f>
        <v>0</v>
      </c>
      <c r="F36" s="24">
        <f>'SC_Loop 1'!F36</f>
        <v>3.0000000000000001E-3</v>
      </c>
      <c r="G36" s="68">
        <f t="shared" si="4"/>
        <v>0</v>
      </c>
      <c r="H36" s="60"/>
      <c r="I36" s="60"/>
      <c r="J36" s="60">
        <f t="shared" si="6"/>
        <v>0</v>
      </c>
      <c r="K36" s="60"/>
      <c r="L36" s="123" t="str">
        <f>IF(J36&lt;&gt;0,4*J36," ")</f>
        <v xml:space="preserve"> </v>
      </c>
      <c r="N36" s="41" t="str">
        <f>IF(AND(B36&gt;0,B36&lt;5),CONCATENATE("Info: External 24V needed. Control Panel could provide from 24Vaux, if 500mA maximum current isn't exceeded. Current requested from device(s) = ",D36,"mA."),IF(B36=0," ",IF(OR(B36=5,B36&gt;5),CONCATENATE("Warning: External 24V PSU is mandatory. Current requested from devices = ",D36,"mA.")," ")))</f>
        <v xml:space="preserve"> </v>
      </c>
    </row>
    <row r="37" spans="1:14" x14ac:dyDescent="0.25">
      <c r="A37" s="22" t="str">
        <f>'SC_Loop 1'!A37</f>
        <v>MAD-425-I</v>
      </c>
      <c r="B37" s="23"/>
      <c r="C37" s="24">
        <f>'SC_Loop 1'!C37</f>
        <v>2.9999999999999997E-4</v>
      </c>
      <c r="D37" s="68">
        <f t="shared" si="3"/>
        <v>0</v>
      </c>
      <c r="E37" s="233">
        <f>B37*'System Calculation'!$I$14</f>
        <v>0</v>
      </c>
      <c r="F37" s="24">
        <f>'SC_Loop 1'!F37</f>
        <v>3.0000000000000001E-3</v>
      </c>
      <c r="G37" s="68">
        <f t="shared" si="4"/>
        <v>0</v>
      </c>
      <c r="H37" s="60"/>
      <c r="I37" s="60"/>
      <c r="J37" s="60">
        <f t="shared" si="6"/>
        <v>0</v>
      </c>
      <c r="K37" s="60"/>
      <c r="L37" s="123" t="str">
        <f>IF(J37&lt;&gt;0,10*J37," ")</f>
        <v xml:space="preserve"> </v>
      </c>
      <c r="N37" s="41" t="str">
        <f t="shared" ref="N37:N42" si="7">IF(AND(B37&gt;0),"Info: External 24V needed. Control Panel could provide from 24Vaux, if 500mA maximum current isn't exceeded."," ")</f>
        <v xml:space="preserve"> </v>
      </c>
    </row>
    <row r="38" spans="1:14" x14ac:dyDescent="0.25">
      <c r="A38" s="22" t="str">
        <f>'SC_Loop 1'!A38</f>
        <v>MAD-429-I</v>
      </c>
      <c r="B38" s="23"/>
      <c r="C38" s="24">
        <f>'SC_Loop 1'!C38</f>
        <v>2.9999999999999997E-4</v>
      </c>
      <c r="D38" s="68">
        <f t="shared" si="3"/>
        <v>0</v>
      </c>
      <c r="E38" s="233">
        <f>B38*'System Calculation'!$I$14</f>
        <v>0</v>
      </c>
      <c r="F38" s="24">
        <f>'SC_Loop 1'!F38</f>
        <v>3.0000000000000001E-3</v>
      </c>
      <c r="G38" s="68">
        <f t="shared" si="4"/>
        <v>0</v>
      </c>
      <c r="H38" s="60"/>
      <c r="I38" s="60"/>
      <c r="J38" s="60">
        <f t="shared" si="6"/>
        <v>0</v>
      </c>
      <c r="K38" s="60"/>
      <c r="L38" s="123" t="str">
        <f>IF(J38&lt;&gt;0,20*J38," ")</f>
        <v xml:space="preserve"> </v>
      </c>
      <c r="N38" s="41" t="str">
        <f t="shared" si="7"/>
        <v xml:space="preserve"> </v>
      </c>
    </row>
    <row r="39" spans="1:14" x14ac:dyDescent="0.25">
      <c r="A39" s="22" t="str">
        <f>'SC_Loop 1'!A39</f>
        <v>MAD-431 &amp; MAD-431-I</v>
      </c>
      <c r="B39" s="23"/>
      <c r="C39" s="24">
        <f>'SC_Loop 1'!C39</f>
        <v>2.9999999999999997E-4</v>
      </c>
      <c r="D39" s="68">
        <f t="shared" si="3"/>
        <v>0</v>
      </c>
      <c r="E39" s="233">
        <f>B39*'System Calculation'!$I$14</f>
        <v>0</v>
      </c>
      <c r="F39" s="24">
        <f>'SC_Loop 1'!F39</f>
        <v>3.0000000000000001E-3</v>
      </c>
      <c r="G39" s="68">
        <f t="shared" si="4"/>
        <v>0</v>
      </c>
      <c r="H39" s="60"/>
      <c r="I39" s="60"/>
      <c r="J39" s="60" t="str">
        <f>IF(B39&lt;&gt;0,B39," ")</f>
        <v xml:space="preserve"> </v>
      </c>
      <c r="K39" s="60"/>
      <c r="L39" s="123" t="str">
        <f>IF(J39&lt;&gt;0,J39," ")</f>
        <v xml:space="preserve"> </v>
      </c>
      <c r="N39" s="41" t="str">
        <f t="shared" si="7"/>
        <v xml:space="preserve"> </v>
      </c>
    </row>
    <row r="40" spans="1:14" x14ac:dyDescent="0.25">
      <c r="A40" s="22" t="str">
        <f>'SC_Loop 1'!A40</f>
        <v>MAD-432 &amp; MAD-432-I</v>
      </c>
      <c r="B40" s="23"/>
      <c r="C40" s="24">
        <f>'SC_Loop 1'!C40</f>
        <v>2.9999999999999997E-4</v>
      </c>
      <c r="D40" s="68">
        <f t="shared" si="3"/>
        <v>0</v>
      </c>
      <c r="E40" s="233">
        <f>B40*'System Calculation'!$I$14</f>
        <v>0</v>
      </c>
      <c r="F40" s="24">
        <f>'SC_Loop 1'!F40</f>
        <v>3.0000000000000001E-3</v>
      </c>
      <c r="G40" s="68">
        <f t="shared" si="4"/>
        <v>0</v>
      </c>
      <c r="H40" s="60"/>
      <c r="I40" s="60"/>
      <c r="J40" s="60">
        <f>IF(B40&lt;&gt;0,B40,0)</f>
        <v>0</v>
      </c>
      <c r="K40" s="60"/>
      <c r="L40" s="123" t="str">
        <f>IF(J40&lt;&gt;0,2*J40," ")</f>
        <v xml:space="preserve"> </v>
      </c>
      <c r="N40" s="41" t="str">
        <f t="shared" si="7"/>
        <v xml:space="preserve"> </v>
      </c>
    </row>
    <row r="41" spans="1:14" x14ac:dyDescent="0.25">
      <c r="A41" s="22" t="str">
        <f>'SC_Loop 1'!A41</f>
        <v>MAD-441 &amp; MAD-441-I</v>
      </c>
      <c r="B41" s="23"/>
      <c r="C41" s="24">
        <f>'SC_Loop 1'!C41</f>
        <v>2.9999999999999997E-4</v>
      </c>
      <c r="D41" s="68">
        <f t="shared" si="3"/>
        <v>0</v>
      </c>
      <c r="E41" s="233">
        <f>B41*'System Calculation'!$I$14</f>
        <v>0</v>
      </c>
      <c r="F41" s="24">
        <f>'SC_Loop 1'!F41</f>
        <v>3.0000000000000001E-3</v>
      </c>
      <c r="G41" s="68">
        <f t="shared" si="4"/>
        <v>0</v>
      </c>
      <c r="H41" s="60"/>
      <c r="I41" s="60"/>
      <c r="J41" s="60" t="str">
        <f>IF(B41&lt;&gt;0,B41," ")</f>
        <v xml:space="preserve"> </v>
      </c>
      <c r="K41" s="60"/>
      <c r="L41" s="123" t="str">
        <f>IF(J41&lt;&gt;0,J41," ")</f>
        <v xml:space="preserve"> </v>
      </c>
      <c r="N41" s="41" t="str">
        <f t="shared" si="7"/>
        <v xml:space="preserve"> </v>
      </c>
    </row>
    <row r="42" spans="1:14" x14ac:dyDescent="0.25">
      <c r="A42" s="22" t="str">
        <f>'SC_Loop 1'!A42</f>
        <v>MAD-442 &amp; MAD-442-I</v>
      </c>
      <c r="B42" s="23"/>
      <c r="C42" s="24">
        <f>'SC_Loop 1'!C42</f>
        <v>2.9999999999999997E-4</v>
      </c>
      <c r="D42" s="68">
        <f t="shared" si="3"/>
        <v>0</v>
      </c>
      <c r="E42" s="233">
        <f>B42*'System Calculation'!$I$14</f>
        <v>0</v>
      </c>
      <c r="F42" s="24">
        <f>'SC_Loop 1'!F42</f>
        <v>3.0000000000000001E-3</v>
      </c>
      <c r="G42" s="68">
        <f t="shared" si="4"/>
        <v>0</v>
      </c>
      <c r="H42" s="60"/>
      <c r="I42" s="60"/>
      <c r="J42" s="60">
        <f>IF(B42&lt;&gt;0,B42,0)</f>
        <v>0</v>
      </c>
      <c r="K42" s="60"/>
      <c r="L42" s="123" t="str">
        <f>IF(J42&lt;&gt;0,2*J42," ")</f>
        <v xml:space="preserve"> </v>
      </c>
      <c r="N42" s="41" t="str">
        <f t="shared" si="7"/>
        <v xml:space="preserve"> </v>
      </c>
    </row>
    <row r="43" spans="1:14" x14ac:dyDescent="0.25">
      <c r="A43" s="22" t="str">
        <f>'SC_Loop 1'!A43</f>
        <v>MAD-450 &amp; MAD-450-I</v>
      </c>
      <c r="B43" s="23"/>
      <c r="C43" s="24">
        <f>'SC_Loop 1'!C43</f>
        <v>2.9999999999999997E-4</v>
      </c>
      <c r="D43" s="68">
        <f t="shared" si="3"/>
        <v>0</v>
      </c>
      <c r="E43" s="233">
        <f>B43*'System Calculation'!$I$12</f>
        <v>0</v>
      </c>
      <c r="F43" s="24">
        <f>'SC_Loop 1'!F43</f>
        <v>3.0000000000000001E-3</v>
      </c>
      <c r="G43" s="68">
        <f t="shared" si="4"/>
        <v>0</v>
      </c>
      <c r="H43" s="60"/>
      <c r="I43" s="59"/>
      <c r="J43" s="60"/>
      <c r="K43" s="60"/>
      <c r="L43" s="123" t="str">
        <f>IF(B43&lt;&gt;0,B43," ")</f>
        <v xml:space="preserve"> </v>
      </c>
      <c r="N43" s="11"/>
    </row>
    <row r="44" spans="1:14" x14ac:dyDescent="0.25">
      <c r="A44" s="22" t="str">
        <f>'SC_Loop 1'!A44</f>
        <v>MAD-451-I</v>
      </c>
      <c r="B44" s="23"/>
      <c r="C44" s="24">
        <f>'SC_Loop 1'!C44</f>
        <v>2.9999999999999997E-4</v>
      </c>
      <c r="D44" s="68">
        <f t="shared" si="3"/>
        <v>0</v>
      </c>
      <c r="E44" s="233">
        <f>B44*'System Calculation'!$I$12</f>
        <v>0</v>
      </c>
      <c r="F44" s="24">
        <f>'SC_Loop 1'!F44</f>
        <v>3.0000000000000001E-3</v>
      </c>
      <c r="G44" s="68">
        <f t="shared" si="4"/>
        <v>0</v>
      </c>
      <c r="H44" s="60"/>
      <c r="I44" s="60"/>
      <c r="J44" s="60"/>
      <c r="K44" s="60"/>
      <c r="L44" s="123" t="str">
        <f>IF(B44&lt;&gt;0,B44," ")</f>
        <v xml:space="preserve"> </v>
      </c>
    </row>
    <row r="45" spans="1:14" x14ac:dyDescent="0.25">
      <c r="A45" s="22" t="str">
        <f>'SC_Loop 1'!A45</f>
        <v>MAD-461-I</v>
      </c>
      <c r="B45" s="23"/>
      <c r="C45" s="24">
        <f>'SC_Loop 1'!C45</f>
        <v>2.9999999999999997E-4</v>
      </c>
      <c r="D45" s="68">
        <f t="shared" si="3"/>
        <v>0</v>
      </c>
      <c r="E45" s="233">
        <f>B45*'System Calculation'!$I$13</f>
        <v>0</v>
      </c>
      <c r="F45" s="24">
        <f>'SC_Loop 1'!F45</f>
        <v>8.9999999999999993E-3</v>
      </c>
      <c r="G45" s="68">
        <f>E45*F45</f>
        <v>0</v>
      </c>
      <c r="H45" s="60" t="str">
        <f>IF(B45*G45=0," ",G45)</f>
        <v xml:space="preserve"> </v>
      </c>
      <c r="I45" s="60"/>
      <c r="J45" s="60"/>
      <c r="K45" s="60" t="str">
        <f t="shared" ref="K45:K53" si="8">IF(B45&lt;&gt;0,B45," ")</f>
        <v xml:space="preserve"> </v>
      </c>
      <c r="L45" s="123" t="str">
        <f>IF(K45&lt;&gt;0,K45," ")</f>
        <v xml:space="preserve"> </v>
      </c>
    </row>
    <row r="46" spans="1:14" x14ac:dyDescent="0.25">
      <c r="A46" s="22" t="str">
        <f>'SC_Loop 1'!A46</f>
        <v>MAD-464-I Low vol. (78 dB)</v>
      </c>
      <c r="B46" s="23"/>
      <c r="C46" s="24">
        <f>'SC_Loop 1'!C46</f>
        <v>2.9999999999999997E-4</v>
      </c>
      <c r="D46" s="68">
        <f t="shared" si="3"/>
        <v>0</v>
      </c>
      <c r="E46" s="233">
        <f>B46*'System Calculation'!$I$13</f>
        <v>0</v>
      </c>
      <c r="F46" s="24">
        <f>'SC_Loop 1'!F46</f>
        <v>6.4999999999999997E-3</v>
      </c>
      <c r="G46" s="68">
        <f t="shared" ref="G46:G51" si="9">E46*F46</f>
        <v>0</v>
      </c>
      <c r="H46" s="60" t="str">
        <f t="shared" ref="H46:H53" si="10">IF(B46*G46=0," ",G46)</f>
        <v xml:space="preserve"> </v>
      </c>
      <c r="I46" s="60"/>
      <c r="J46" s="60"/>
      <c r="K46" s="60" t="str">
        <f t="shared" si="8"/>
        <v xml:space="preserve"> </v>
      </c>
      <c r="L46" s="123" t="str">
        <f t="shared" ref="L46:L53" si="11">IF(K46&lt;&gt;0,K46," ")</f>
        <v xml:space="preserve"> </v>
      </c>
    </row>
    <row r="47" spans="1:14" x14ac:dyDescent="0.25">
      <c r="A47" s="22" t="str">
        <f>'SC_Loop 1'!A47</f>
        <v>MAD-464-I Medium vol. (93 dB)</v>
      </c>
      <c r="B47" s="23"/>
      <c r="C47" s="24">
        <f>'SC_Loop 1'!C47</f>
        <v>2.9999999999999997E-4</v>
      </c>
      <c r="D47" s="68">
        <f t="shared" si="3"/>
        <v>0</v>
      </c>
      <c r="E47" s="233">
        <f>B47*'System Calculation'!$I$13</f>
        <v>0</v>
      </c>
      <c r="F47" s="24">
        <f>'SC_Loop 1'!F47</f>
        <v>9.7000000000000003E-3</v>
      </c>
      <c r="G47" s="68">
        <f t="shared" si="9"/>
        <v>0</v>
      </c>
      <c r="H47" s="60" t="str">
        <f t="shared" si="10"/>
        <v xml:space="preserve"> </v>
      </c>
      <c r="I47" s="60"/>
      <c r="J47" s="60"/>
      <c r="K47" s="60" t="str">
        <f t="shared" si="8"/>
        <v xml:space="preserve"> </v>
      </c>
      <c r="L47" s="123" t="str">
        <f t="shared" si="11"/>
        <v xml:space="preserve"> </v>
      </c>
    </row>
    <row r="48" spans="1:14" x14ac:dyDescent="0.25">
      <c r="A48" s="22" t="str">
        <f>'SC_Loop 1'!A48</f>
        <v>MAD-464-I High vol. (97 dB)</v>
      </c>
      <c r="B48" s="23"/>
      <c r="C48" s="24">
        <f>'SC_Loop 1'!C48</f>
        <v>2.9999999999999997E-4</v>
      </c>
      <c r="D48" s="68">
        <f t="shared" si="3"/>
        <v>0</v>
      </c>
      <c r="E48" s="233">
        <f>B48*'System Calculation'!$I$13</f>
        <v>0</v>
      </c>
      <c r="F48" s="24">
        <f>'SC_Loop 1'!F48</f>
        <v>1.2999999999999999E-2</v>
      </c>
      <c r="G48" s="68">
        <f t="shared" si="9"/>
        <v>0</v>
      </c>
      <c r="H48" s="60" t="str">
        <f t="shared" si="10"/>
        <v xml:space="preserve"> </v>
      </c>
      <c r="I48" s="60"/>
      <c r="J48" s="60"/>
      <c r="K48" s="60" t="str">
        <f t="shared" si="8"/>
        <v xml:space="preserve"> </v>
      </c>
      <c r="L48" s="123" t="str">
        <f t="shared" si="11"/>
        <v xml:space="preserve"> </v>
      </c>
    </row>
    <row r="49" spans="1:14" x14ac:dyDescent="0.25">
      <c r="A49" s="22" t="str">
        <f>'SC_Loop 1'!A49</f>
        <v>MAD-465-I Low vol. (78 dB)</v>
      </c>
      <c r="B49" s="23"/>
      <c r="C49" s="24">
        <f>'SC_Loop 1'!C49</f>
        <v>2.9999999999999997E-4</v>
      </c>
      <c r="D49" s="68">
        <f t="shared" si="3"/>
        <v>0</v>
      </c>
      <c r="E49" s="233">
        <f>B49*'System Calculation'!$I$13</f>
        <v>0</v>
      </c>
      <c r="F49" s="24">
        <f>'SC_Loop 1'!F49</f>
        <v>6.4999999999999997E-3</v>
      </c>
      <c r="G49" s="68">
        <f t="shared" si="9"/>
        <v>0</v>
      </c>
      <c r="H49" s="60" t="str">
        <f t="shared" si="10"/>
        <v xml:space="preserve"> </v>
      </c>
      <c r="I49" s="60"/>
      <c r="J49" s="60"/>
      <c r="K49" s="60" t="str">
        <f t="shared" si="8"/>
        <v xml:space="preserve"> </v>
      </c>
      <c r="L49" s="123" t="str">
        <f t="shared" si="11"/>
        <v xml:space="preserve"> </v>
      </c>
    </row>
    <row r="50" spans="1:14" x14ac:dyDescent="0.25">
      <c r="A50" s="22" t="str">
        <f>'SC_Loop 1'!A50</f>
        <v>MAD-465-I Medium vol. (93 dB)</v>
      </c>
      <c r="B50" s="23"/>
      <c r="C50" s="24">
        <f>'SC_Loop 1'!C50</f>
        <v>2.9999999999999997E-4</v>
      </c>
      <c r="D50" s="68">
        <f t="shared" si="3"/>
        <v>0</v>
      </c>
      <c r="E50" s="233">
        <f>B50*'System Calculation'!$I$13</f>
        <v>0</v>
      </c>
      <c r="F50" s="24">
        <f>'SC_Loop 1'!F50</f>
        <v>9.7000000000000003E-3</v>
      </c>
      <c r="G50" s="68">
        <f t="shared" si="9"/>
        <v>0</v>
      </c>
      <c r="H50" s="60" t="str">
        <f t="shared" si="10"/>
        <v xml:space="preserve"> </v>
      </c>
      <c r="I50" s="60"/>
      <c r="J50" s="60"/>
      <c r="K50" s="60" t="str">
        <f t="shared" si="8"/>
        <v xml:space="preserve"> </v>
      </c>
      <c r="L50" s="123" t="str">
        <f t="shared" si="11"/>
        <v xml:space="preserve"> </v>
      </c>
    </row>
    <row r="51" spans="1:14" x14ac:dyDescent="0.25">
      <c r="A51" s="22" t="str">
        <f>'SC_Loop 1'!A51</f>
        <v>MAD-465-I High vol. (97 dB)</v>
      </c>
      <c r="B51" s="23"/>
      <c r="C51" s="24">
        <f>'SC_Loop 1'!C51</f>
        <v>2.9999999999999997E-4</v>
      </c>
      <c r="D51" s="68">
        <f t="shared" si="3"/>
        <v>0</v>
      </c>
      <c r="E51" s="233">
        <f>B51*'System Calculation'!$I$13</f>
        <v>0</v>
      </c>
      <c r="F51" s="24">
        <f>'SC_Loop 1'!F51</f>
        <v>1.2999999999999999E-2</v>
      </c>
      <c r="G51" s="68">
        <f t="shared" si="9"/>
        <v>0</v>
      </c>
      <c r="H51" s="60" t="str">
        <f t="shared" si="10"/>
        <v xml:space="preserve"> </v>
      </c>
      <c r="I51" s="60"/>
      <c r="J51" s="60"/>
      <c r="K51" s="60" t="str">
        <f t="shared" si="8"/>
        <v xml:space="preserve"> </v>
      </c>
      <c r="L51" s="123" t="str">
        <f t="shared" si="11"/>
        <v xml:space="preserve"> </v>
      </c>
    </row>
    <row r="52" spans="1:14" x14ac:dyDescent="0.25">
      <c r="A52" s="22" t="str">
        <f>'SC_Loop 1'!A52</f>
        <v>MAD-472</v>
      </c>
      <c r="B52" s="23"/>
      <c r="C52" s="24">
        <f>'SC_Loop 1'!C52</f>
        <v>3.5E-4</v>
      </c>
      <c r="D52" s="68">
        <f>B52*C52</f>
        <v>0</v>
      </c>
      <c r="E52" s="233">
        <f>B52*'System Calculation'!$I$13</f>
        <v>0</v>
      </c>
      <c r="F52" s="24">
        <f>'SC_Loop 1'!F52</f>
        <v>1.4E-2</v>
      </c>
      <c r="G52" s="68">
        <f t="shared" si="4"/>
        <v>0</v>
      </c>
      <c r="H52" s="60" t="str">
        <f t="shared" si="10"/>
        <v xml:space="preserve"> </v>
      </c>
      <c r="I52" s="60"/>
      <c r="J52" s="60"/>
      <c r="K52" s="60" t="str">
        <f t="shared" si="8"/>
        <v xml:space="preserve"> </v>
      </c>
      <c r="L52" s="123" t="str">
        <f t="shared" si="11"/>
        <v xml:space="preserve"> </v>
      </c>
    </row>
    <row r="53" spans="1:14" x14ac:dyDescent="0.25">
      <c r="A53" s="22" t="str">
        <f>'SC_Loop 1'!A53</f>
        <v>MAD-473</v>
      </c>
      <c r="B53" s="23"/>
      <c r="C53" s="24">
        <f>'SC_Loop 1'!C53</f>
        <v>3.5E-4</v>
      </c>
      <c r="D53" s="68">
        <f t="shared" si="3"/>
        <v>0</v>
      </c>
      <c r="E53" s="233">
        <f>B53*'System Calculation'!$I$13</f>
        <v>0</v>
      </c>
      <c r="F53" s="24">
        <f>'SC_Loop 1'!F53</f>
        <v>1.4999999999999999E-2</v>
      </c>
      <c r="G53" s="68">
        <f t="shared" si="4"/>
        <v>0</v>
      </c>
      <c r="H53" s="60" t="str">
        <f t="shared" si="10"/>
        <v xml:space="preserve"> </v>
      </c>
      <c r="I53" s="60"/>
      <c r="J53" s="60"/>
      <c r="K53" s="60" t="str">
        <f t="shared" si="8"/>
        <v xml:space="preserve"> </v>
      </c>
      <c r="L53" s="123" t="str">
        <f t="shared" si="11"/>
        <v xml:space="preserve"> </v>
      </c>
    </row>
    <row r="54" spans="1:14" x14ac:dyDescent="0.25">
      <c r="A54" s="22" t="str">
        <f>'SC_Loop 1'!A54</f>
        <v>MAD-481</v>
      </c>
      <c r="B54" s="23"/>
      <c r="C54" s="24">
        <f>'SC_Loop 1'!C54</f>
        <v>2.9999999999999997E-4</v>
      </c>
      <c r="D54" s="68">
        <f t="shared" si="3"/>
        <v>0</v>
      </c>
      <c r="E54" s="233">
        <f>B54*'System Calculation'!$I$14</f>
        <v>0</v>
      </c>
      <c r="F54" s="24">
        <f>'SC_Loop 1'!F54</f>
        <v>3.0000000000000001E-3</v>
      </c>
      <c r="G54" s="68">
        <f t="shared" si="4"/>
        <v>0</v>
      </c>
      <c r="H54" s="60"/>
      <c r="I54" s="60"/>
      <c r="J54" s="60" t="str">
        <f>IF(B54&lt;&gt;0,B54," ")</f>
        <v xml:space="preserve"> </v>
      </c>
      <c r="K54" s="60"/>
      <c r="L54" s="123" t="str">
        <f>IF(J54&lt;&gt;0,J54," ")</f>
        <v xml:space="preserve"> </v>
      </c>
      <c r="N54" s="41"/>
    </row>
    <row r="55" spans="1:14" x14ac:dyDescent="0.25">
      <c r="A55" s="22" t="str">
        <f>'SC_Loop 1'!A55</f>
        <v>MAD-490</v>
      </c>
      <c r="B55" s="23"/>
      <c r="C55" s="24">
        <f>'SC_Loop 1'!C55</f>
        <v>2.9999999999999997E-4</v>
      </c>
      <c r="D55" s="68">
        <f t="shared" si="3"/>
        <v>0</v>
      </c>
      <c r="E55" s="233"/>
      <c r="F55" s="24">
        <f>'SC_Loop 1'!F55</f>
        <v>0.05</v>
      </c>
      <c r="G55" s="68">
        <f t="shared" si="4"/>
        <v>0</v>
      </c>
      <c r="H55" s="60"/>
      <c r="I55" s="60"/>
      <c r="J55" s="60"/>
      <c r="K55" s="60"/>
      <c r="L55" s="123"/>
    </row>
    <row r="56" spans="1:14" x14ac:dyDescent="0.25">
      <c r="A56" s="22" t="str">
        <f>'SC_Loop 1'!A56</f>
        <v>PAD-10</v>
      </c>
      <c r="B56" s="23"/>
      <c r="C56" s="24">
        <f>'SC_Loop 1'!C56</f>
        <v>6.2500000000000001E-4</v>
      </c>
      <c r="D56" s="68">
        <f t="shared" si="3"/>
        <v>0</v>
      </c>
      <c r="E56" s="233">
        <f>IF(B56&gt;10,10,B56)</f>
        <v>0</v>
      </c>
      <c r="F56" s="24">
        <f>'SC_Loop 1'!F56</f>
        <v>5.0000000000000001E-3</v>
      </c>
      <c r="G56" s="68">
        <f t="shared" si="4"/>
        <v>0</v>
      </c>
      <c r="H56" s="60"/>
      <c r="I56" s="60"/>
      <c r="J56" s="60"/>
      <c r="K56" s="60"/>
      <c r="L56" s="123"/>
    </row>
    <row r="57" spans="1:14" x14ac:dyDescent="0.25">
      <c r="A57" s="22" t="str">
        <f>'SC_Loop 1'!A57</f>
        <v>PAD-10A-I</v>
      </c>
      <c r="B57" s="23"/>
      <c r="C57" s="24">
        <f>'SC_Loop 1'!C57</f>
        <v>1.85E-4</v>
      </c>
      <c r="D57" s="68">
        <f t="shared" si="3"/>
        <v>0</v>
      </c>
      <c r="E57" s="233">
        <f>IF(B57&gt;10,10,B57)</f>
        <v>0</v>
      </c>
      <c r="F57" s="24">
        <f>'SC_Loop 1'!F57</f>
        <v>4.0000000000000001E-3</v>
      </c>
      <c r="G57" s="68">
        <f t="shared" si="4"/>
        <v>0</v>
      </c>
      <c r="H57" s="60"/>
      <c r="I57" s="60"/>
      <c r="J57" s="60"/>
      <c r="K57" s="60"/>
      <c r="L57" s="123"/>
    </row>
    <row r="58" spans="1:14" x14ac:dyDescent="0.25">
      <c r="A58" s="22" t="str">
        <f>'SC_Loop 1'!A58</f>
        <v>TPLD-100 (CCD-102) = 3 loop address</v>
      </c>
      <c r="B58" s="23"/>
      <c r="C58" s="24">
        <f>'SC_Loop 1'!C58</f>
        <v>2.9999999999999997E-4</v>
      </c>
      <c r="D58" s="68">
        <f t="shared" si="3"/>
        <v>0</v>
      </c>
      <c r="E58" s="233"/>
      <c r="F58" s="24">
        <f>'SC_Loop 1'!F58</f>
        <v>3.0000000000000001E-3</v>
      </c>
      <c r="G58" s="68">
        <f t="shared" si="4"/>
        <v>0</v>
      </c>
      <c r="H58" s="60"/>
      <c r="I58" s="60"/>
      <c r="J58" s="60"/>
      <c r="K58" s="60"/>
      <c r="L58" s="123" t="str">
        <f>IF(B58&lt;&gt;0,3*B58," ")</f>
        <v xml:space="preserve"> </v>
      </c>
    </row>
    <row r="59" spans="1:14" x14ac:dyDescent="0.25">
      <c r="A59" s="22" t="str">
        <f>'SC_Loop 1'!A59</f>
        <v>TPLD-100 (CCD-104) = 5 loop address</v>
      </c>
      <c r="B59" s="23"/>
      <c r="C59" s="24">
        <f>'SC_Loop 1'!C59</f>
        <v>2.9999999999999997E-4</v>
      </c>
      <c r="D59" s="68">
        <f t="shared" si="3"/>
        <v>0</v>
      </c>
      <c r="E59" s="233"/>
      <c r="F59" s="24">
        <f>'SC_Loop 1'!F59</f>
        <v>3.0000000000000001E-3</v>
      </c>
      <c r="G59" s="68">
        <f t="shared" si="4"/>
        <v>0</v>
      </c>
      <c r="H59" s="60"/>
      <c r="I59" s="60"/>
      <c r="J59" s="60"/>
      <c r="K59" s="60"/>
      <c r="L59" s="123" t="str">
        <f>IF(B59&lt;&gt;0,5*B59," ")</f>
        <v xml:space="preserve"> </v>
      </c>
    </row>
    <row r="60" spans="1:14" x14ac:dyDescent="0.25">
      <c r="A60" s="22" t="str">
        <f>'SC_Loop 1'!A60</f>
        <v>TPLD-100 (CCD-108) = 9 loop address</v>
      </c>
      <c r="B60" s="23"/>
      <c r="C60" s="24">
        <f>'SC_Loop 1'!C60</f>
        <v>2.9999999999999997E-4</v>
      </c>
      <c r="D60" s="68">
        <f t="shared" si="3"/>
        <v>0</v>
      </c>
      <c r="E60" s="233"/>
      <c r="F60" s="24">
        <f>'SC_Loop 1'!F60</f>
        <v>3.0000000000000001E-3</v>
      </c>
      <c r="G60" s="68">
        <f t="shared" si="4"/>
        <v>0</v>
      </c>
      <c r="H60" s="60"/>
      <c r="I60" s="60"/>
      <c r="J60" s="60"/>
      <c r="K60" s="60"/>
      <c r="L60" s="123" t="str">
        <f>IF(B60&lt;&gt;0,9*B60," ")</f>
        <v xml:space="preserve"> </v>
      </c>
    </row>
    <row r="61" spans="1:14" x14ac:dyDescent="0.25">
      <c r="A61" s="22" t="str">
        <f>'SC_Loop 1'!A61</f>
        <v>TPLD-100 (CCD-112) = 13 loop address</v>
      </c>
      <c r="B61" s="23"/>
      <c r="C61" s="24">
        <f>'SC_Loop 1'!C61</f>
        <v>2.9999999999999997E-4</v>
      </c>
      <c r="D61" s="68">
        <f t="shared" si="3"/>
        <v>0</v>
      </c>
      <c r="E61" s="233"/>
      <c r="F61" s="24">
        <f>'SC_Loop 1'!F61</f>
        <v>3.0000000000000001E-3</v>
      </c>
      <c r="G61" s="68">
        <f t="shared" si="4"/>
        <v>0</v>
      </c>
      <c r="H61" s="60"/>
      <c r="I61" s="60"/>
      <c r="J61" s="60"/>
      <c r="K61" s="60"/>
      <c r="L61" s="123" t="str">
        <f>IF(B61&lt;&gt;0,13*B61," ")</f>
        <v xml:space="preserve"> </v>
      </c>
    </row>
    <row r="62" spans="1:14" ht="13.8" thickBot="1" x14ac:dyDescent="0.3">
      <c r="A62" s="126" t="str">
        <f>'SC_Loop 1'!A62</f>
        <v>TPLD-100 (CCD-103) = 7 loop address</v>
      </c>
      <c r="B62" s="127"/>
      <c r="C62" s="199">
        <f>'SC_Loop 1'!C62</f>
        <v>2.9999999999999997E-4</v>
      </c>
      <c r="D62" s="128">
        <f t="shared" si="3"/>
        <v>0</v>
      </c>
      <c r="E62" s="235"/>
      <c r="F62" s="199">
        <f>'SC_Loop 1'!F62</f>
        <v>3.0000000000000001E-3</v>
      </c>
      <c r="G62" s="128">
        <f t="shared" si="4"/>
        <v>0</v>
      </c>
      <c r="H62" s="50"/>
      <c r="I62" s="50"/>
      <c r="J62" s="50"/>
      <c r="K62" s="141"/>
      <c r="L62" s="129" t="str">
        <f>IF(B62&lt;&gt;0,7*B62," ")</f>
        <v xml:space="preserve"> </v>
      </c>
    </row>
    <row r="63" spans="1:14" s="7" customFormat="1" ht="13.8" thickBot="1" x14ac:dyDescent="0.3">
      <c r="A63" s="19" t="s">
        <v>8</v>
      </c>
      <c r="B63" s="73">
        <f>SUM(B15:B55)+SUM(L58:L62)</f>
        <v>0</v>
      </c>
      <c r="C63" s="20"/>
      <c r="D63" s="70">
        <f>SUM(D15:D62)</f>
        <v>0</v>
      </c>
      <c r="E63" s="72">
        <f>SUM(E15:E55)</f>
        <v>0</v>
      </c>
      <c r="F63" s="70"/>
      <c r="G63" s="70">
        <f>SUM(G15:G62)</f>
        <v>0</v>
      </c>
      <c r="H63" s="70">
        <f t="shared" ref="H63:L63" si="12">SUM(H15:H62)</f>
        <v>0</v>
      </c>
      <c r="I63" s="73">
        <f t="shared" si="12"/>
        <v>0</v>
      </c>
      <c r="J63" s="73">
        <f t="shared" si="12"/>
        <v>0</v>
      </c>
      <c r="K63" s="73">
        <f t="shared" si="12"/>
        <v>0</v>
      </c>
      <c r="L63" s="142">
        <f t="shared" si="12"/>
        <v>0</v>
      </c>
    </row>
    <row r="64" spans="1:14" s="7" customFormat="1" x14ac:dyDescent="0.25">
      <c r="A64" s="29"/>
      <c r="B64" s="119"/>
      <c r="C64" s="120"/>
      <c r="D64" s="121"/>
      <c r="E64" s="122"/>
      <c r="F64" s="121"/>
      <c r="G64" s="121"/>
      <c r="H64" s="121"/>
      <c r="I64" s="121"/>
      <c r="J64" s="121"/>
      <c r="K64" s="119"/>
      <c r="L64" s="119"/>
    </row>
    <row r="65" spans="1:12" ht="14.4" customHeight="1" thickBot="1" x14ac:dyDescent="0.3">
      <c r="E65" s="32"/>
      <c r="K65" s="150" t="str">
        <f>IF($L$63&gt;250,"Error: The Loop cannot contain more than 250 addresses","")</f>
        <v/>
      </c>
    </row>
    <row r="66" spans="1:12" ht="14.4" customHeight="1" thickBot="1" x14ac:dyDescent="0.3">
      <c r="A66" s="19" t="s">
        <v>137</v>
      </c>
      <c r="B66" s="130"/>
      <c r="C66" s="130"/>
      <c r="D66" s="131"/>
      <c r="E66" s="32"/>
    </row>
    <row r="67" spans="1:12" ht="14.4" customHeight="1" x14ac:dyDescent="0.25">
      <c r="A67" s="111" t="s">
        <v>138</v>
      </c>
      <c r="B67" s="139">
        <v>1.72E-2</v>
      </c>
      <c r="C67" s="52"/>
      <c r="D67" s="134" t="s">
        <v>139</v>
      </c>
      <c r="E67" s="32"/>
    </row>
    <row r="68" spans="1:12" ht="14.4" customHeight="1" x14ac:dyDescent="0.25">
      <c r="A68" s="39" t="s">
        <v>140</v>
      </c>
      <c r="B68" s="137">
        <f>D63</f>
        <v>0</v>
      </c>
      <c r="C68" s="60"/>
      <c r="D68" s="109" t="s">
        <v>9</v>
      </c>
      <c r="E68" s="32"/>
    </row>
    <row r="69" spans="1:12" ht="14.4" customHeight="1" x14ac:dyDescent="0.25">
      <c r="A69" s="39" t="s">
        <v>141</v>
      </c>
      <c r="B69" s="137">
        <f>G63-H63</f>
        <v>0</v>
      </c>
      <c r="C69" s="60"/>
      <c r="D69" s="109" t="s">
        <v>9</v>
      </c>
      <c r="E69" s="32"/>
    </row>
    <row r="70" spans="1:12" ht="14.4" customHeight="1" x14ac:dyDescent="0.25">
      <c r="A70" s="39" t="s">
        <v>142</v>
      </c>
      <c r="B70" s="137">
        <f>H63</f>
        <v>0</v>
      </c>
      <c r="C70" s="60"/>
      <c r="D70" s="109" t="s">
        <v>9</v>
      </c>
      <c r="E70" s="32"/>
    </row>
    <row r="71" spans="1:12" ht="14.4" customHeight="1" x14ac:dyDescent="0.25">
      <c r="A71" s="39" t="s">
        <v>143</v>
      </c>
      <c r="B71" s="137">
        <f>SUM(B68:B70)</f>
        <v>0</v>
      </c>
      <c r="C71" s="60"/>
      <c r="D71" s="109" t="s">
        <v>9</v>
      </c>
      <c r="E71" s="32"/>
    </row>
    <row r="72" spans="1:12" ht="14.4" customHeight="1" thickBot="1" x14ac:dyDescent="0.3">
      <c r="A72" s="140" t="s">
        <v>144</v>
      </c>
      <c r="B72" s="124">
        <v>6.9</v>
      </c>
      <c r="C72" s="124"/>
      <c r="D72" s="34" t="s">
        <v>145</v>
      </c>
      <c r="E72" s="32"/>
    </row>
    <row r="73" spans="1:12" ht="14.4" customHeight="1" thickBot="1" x14ac:dyDescent="0.3">
      <c r="A73" s="17"/>
      <c r="E73" s="32"/>
    </row>
    <row r="74" spans="1:12" ht="14.4" customHeight="1" thickBot="1" x14ac:dyDescent="0.3">
      <c r="A74" s="8" t="s">
        <v>155</v>
      </c>
      <c r="B74" s="147"/>
      <c r="C74" s="147"/>
      <c r="D74" s="147"/>
      <c r="E74" s="162"/>
      <c r="F74" s="147"/>
      <c r="G74" s="147"/>
      <c r="H74" s="147"/>
      <c r="I74" s="147"/>
      <c r="J74" s="147"/>
      <c r="K74" s="148"/>
      <c r="L74" s="151" t="s">
        <v>151</v>
      </c>
    </row>
    <row r="75" spans="1:12" ht="14.4" customHeight="1" x14ac:dyDescent="0.25">
      <c r="A75" s="169" t="s">
        <v>156</v>
      </c>
      <c r="B75" s="52">
        <v>1000</v>
      </c>
      <c r="C75" s="52"/>
      <c r="D75" s="52">
        <v>1500</v>
      </c>
      <c r="E75" s="161"/>
      <c r="F75" s="52"/>
      <c r="G75" s="52">
        <v>2000</v>
      </c>
      <c r="H75" s="52">
        <v>2500</v>
      </c>
      <c r="I75" s="52">
        <v>3000</v>
      </c>
      <c r="J75" s="165">
        <v>3500</v>
      </c>
      <c r="K75" s="152" t="s">
        <v>152</v>
      </c>
    </row>
    <row r="76" spans="1:12" ht="14.4" customHeight="1" x14ac:dyDescent="0.25">
      <c r="A76" s="138" t="s">
        <v>157</v>
      </c>
      <c r="B76" s="154" t="e">
        <f>((($B$67*B75)/B78)*2)</f>
        <v>#DIV/0!</v>
      </c>
      <c r="C76" s="154" t="e">
        <f t="shared" ref="C76:J76" si="13">((($B$67*C75)/C78)*2)</f>
        <v>#DIV/0!</v>
      </c>
      <c r="D76" s="154" t="e">
        <f t="shared" si="13"/>
        <v>#DIV/0!</v>
      </c>
      <c r="E76" s="154" t="e">
        <f t="shared" si="13"/>
        <v>#DIV/0!</v>
      </c>
      <c r="F76" s="154" t="e">
        <f t="shared" si="13"/>
        <v>#DIV/0!</v>
      </c>
      <c r="G76" s="154" t="e">
        <f t="shared" si="13"/>
        <v>#DIV/0!</v>
      </c>
      <c r="H76" s="154" t="e">
        <f t="shared" si="13"/>
        <v>#DIV/0!</v>
      </c>
      <c r="I76" s="154" t="e">
        <f t="shared" si="13"/>
        <v>#DIV/0!</v>
      </c>
      <c r="J76" s="154" t="e">
        <f t="shared" si="13"/>
        <v>#DIV/0!</v>
      </c>
      <c r="K76" s="153" t="s">
        <v>153</v>
      </c>
    </row>
    <row r="77" spans="1:12" ht="14.4" customHeight="1" thickBot="1" x14ac:dyDescent="0.3">
      <c r="A77" s="168" t="s">
        <v>158</v>
      </c>
      <c r="B77" s="154" t="e">
        <f>B76/2</f>
        <v>#DIV/0!</v>
      </c>
      <c r="C77" s="154" t="e">
        <f t="shared" ref="C77:G77" si="14">C76/2</f>
        <v>#DIV/0!</v>
      </c>
      <c r="D77" s="154" t="e">
        <f t="shared" si="14"/>
        <v>#DIV/0!</v>
      </c>
      <c r="E77" s="154" t="e">
        <f t="shared" si="14"/>
        <v>#DIV/0!</v>
      </c>
      <c r="F77" s="154" t="e">
        <f t="shared" si="14"/>
        <v>#DIV/0!</v>
      </c>
      <c r="G77" s="154" t="e">
        <f t="shared" si="14"/>
        <v>#DIV/0!</v>
      </c>
      <c r="H77" s="154" t="e">
        <f>H76/2</f>
        <v>#DIV/0!</v>
      </c>
      <c r="I77" s="154" t="e">
        <f>I76/2</f>
        <v>#DIV/0!</v>
      </c>
      <c r="J77" s="154" t="e">
        <f>J76/2</f>
        <v>#DIV/0!</v>
      </c>
      <c r="K77" s="167" t="s">
        <v>153</v>
      </c>
    </row>
    <row r="78" spans="1:12" ht="14.4" customHeight="1" thickBot="1" x14ac:dyDescent="0.3">
      <c r="A78" s="19" t="s">
        <v>159</v>
      </c>
      <c r="B78" s="194" t="e">
        <f t="shared" ref="B78:J78" si="15">IF((($B$67*B$75)/(($B$72-((SUM($B$16,$B$18,$B$20,$B$22)*0.155)*$B$71))/$B$71))&lt;0.5,0.5,(($B$67*B$75)/(($B$72-((SUM($B$16,$B$18,$B$20,$B$22)*0.155)*$B$71))/$B$71)))</f>
        <v>#DIV/0!</v>
      </c>
      <c r="C78" s="194" t="e">
        <f t="shared" si="15"/>
        <v>#DIV/0!</v>
      </c>
      <c r="D78" s="194" t="e">
        <f t="shared" si="15"/>
        <v>#DIV/0!</v>
      </c>
      <c r="E78" s="194" t="e">
        <f t="shared" si="15"/>
        <v>#DIV/0!</v>
      </c>
      <c r="F78" s="194" t="e">
        <f t="shared" si="15"/>
        <v>#DIV/0!</v>
      </c>
      <c r="G78" s="194" t="e">
        <f t="shared" si="15"/>
        <v>#DIV/0!</v>
      </c>
      <c r="H78" s="194" t="e">
        <f t="shared" si="15"/>
        <v>#DIV/0!</v>
      </c>
      <c r="I78" s="194" t="e">
        <f t="shared" si="15"/>
        <v>#DIV/0!</v>
      </c>
      <c r="J78" s="194" t="e">
        <f t="shared" si="15"/>
        <v>#DIV/0!</v>
      </c>
      <c r="K78" s="108" t="s">
        <v>131</v>
      </c>
    </row>
    <row r="79" spans="1:12" ht="14.4" customHeight="1" thickBot="1" x14ac:dyDescent="0.3">
      <c r="A79" s="17"/>
      <c r="E79" s="32"/>
    </row>
    <row r="80" spans="1:12" ht="14.4" customHeight="1" thickBot="1" x14ac:dyDescent="0.3">
      <c r="A80" s="8" t="s">
        <v>160</v>
      </c>
      <c r="B80" s="147"/>
      <c r="C80" s="147"/>
      <c r="D80" s="147"/>
      <c r="E80" s="162"/>
      <c r="F80" s="147"/>
      <c r="G80" s="147"/>
      <c r="H80" s="147"/>
      <c r="I80" s="147"/>
      <c r="J80" s="147"/>
      <c r="K80" s="148"/>
      <c r="L80" s="151" t="s">
        <v>154</v>
      </c>
    </row>
    <row r="81" spans="1:11" ht="14.4" customHeight="1" x14ac:dyDescent="0.25">
      <c r="A81" s="163" t="s">
        <v>161</v>
      </c>
      <c r="B81" s="48">
        <v>0.5</v>
      </c>
      <c r="C81" s="52"/>
      <c r="D81" s="52">
        <v>0.75</v>
      </c>
      <c r="E81" s="161"/>
      <c r="F81" s="52"/>
      <c r="G81" s="52">
        <v>1</v>
      </c>
      <c r="H81" s="52">
        <v>1.5</v>
      </c>
      <c r="I81" s="52">
        <v>2.5</v>
      </c>
      <c r="J81" s="165">
        <v>4</v>
      </c>
      <c r="K81" s="152" t="s">
        <v>131</v>
      </c>
    </row>
    <row r="82" spans="1:11" ht="14.4" customHeight="1" x14ac:dyDescent="0.25">
      <c r="A82" s="164" t="s">
        <v>157</v>
      </c>
      <c r="B82" s="154" t="e">
        <f t="shared" ref="B82:J82" si="16">$B$67*B84/B81*2</f>
        <v>#DIV/0!</v>
      </c>
      <c r="C82" s="154" t="e">
        <f t="shared" si="16"/>
        <v>#DIV/0!</v>
      </c>
      <c r="D82" s="154" t="e">
        <f t="shared" si="16"/>
        <v>#DIV/0!</v>
      </c>
      <c r="E82" s="154" t="e">
        <f t="shared" si="16"/>
        <v>#DIV/0!</v>
      </c>
      <c r="F82" s="154" t="e">
        <f t="shared" si="16"/>
        <v>#DIV/0!</v>
      </c>
      <c r="G82" s="154" t="e">
        <f t="shared" si="16"/>
        <v>#DIV/0!</v>
      </c>
      <c r="H82" s="154" t="e">
        <f t="shared" si="16"/>
        <v>#DIV/0!</v>
      </c>
      <c r="I82" s="154" t="e">
        <f t="shared" si="16"/>
        <v>#DIV/0!</v>
      </c>
      <c r="J82" s="154" t="e">
        <f t="shared" si="16"/>
        <v>#DIV/0!</v>
      </c>
      <c r="K82" s="153" t="s">
        <v>153</v>
      </c>
    </row>
    <row r="83" spans="1:11" ht="14.4" customHeight="1" thickBot="1" x14ac:dyDescent="0.3">
      <c r="A83" s="166" t="s">
        <v>158</v>
      </c>
      <c r="B83" s="154" t="e">
        <f>B82/2</f>
        <v>#DIV/0!</v>
      </c>
      <c r="C83" s="154" t="e">
        <f t="shared" ref="C83:G83" si="17">C82/2</f>
        <v>#DIV/0!</v>
      </c>
      <c r="D83" s="154" t="e">
        <f t="shared" si="17"/>
        <v>#DIV/0!</v>
      </c>
      <c r="E83" s="154" t="e">
        <f t="shared" si="17"/>
        <v>#DIV/0!</v>
      </c>
      <c r="F83" s="154" t="e">
        <f t="shared" si="17"/>
        <v>#DIV/0!</v>
      </c>
      <c r="G83" s="154" t="e">
        <f t="shared" si="17"/>
        <v>#DIV/0!</v>
      </c>
      <c r="H83" s="154" t="e">
        <f>H82/2</f>
        <v>#DIV/0!</v>
      </c>
      <c r="I83" s="154" t="e">
        <f>I82/2</f>
        <v>#DIV/0!</v>
      </c>
      <c r="J83" s="154" t="e">
        <f>J82/2</f>
        <v>#DIV/0!</v>
      </c>
      <c r="K83" s="167" t="s">
        <v>153</v>
      </c>
    </row>
    <row r="84" spans="1:11" ht="14.4" customHeight="1" thickBot="1" x14ac:dyDescent="0.3">
      <c r="A84" s="108" t="s">
        <v>162</v>
      </c>
      <c r="B84" s="194" t="e">
        <f t="shared" ref="B84:J84" si="18">IF((((($B$72-((SUM($B$16,$B$18,$B$20,$B$22)*0.155)*$B$71))/$B$71)*B$81)/$B$67)&gt;3500,3500,(((($B$72-((SUM($B$16,$B$18,$B$20,$B$22)*0.155)*$B$71))/$B$71)*B$81)/$B$67))</f>
        <v>#DIV/0!</v>
      </c>
      <c r="C84" s="194" t="e">
        <f t="shared" si="18"/>
        <v>#DIV/0!</v>
      </c>
      <c r="D84" s="194" t="e">
        <f t="shared" si="18"/>
        <v>#DIV/0!</v>
      </c>
      <c r="E84" s="194" t="e">
        <f t="shared" si="18"/>
        <v>#DIV/0!</v>
      </c>
      <c r="F84" s="194" t="e">
        <f t="shared" si="18"/>
        <v>#DIV/0!</v>
      </c>
      <c r="G84" s="194" t="e">
        <f t="shared" si="18"/>
        <v>#DIV/0!</v>
      </c>
      <c r="H84" s="194" t="e">
        <f t="shared" si="18"/>
        <v>#DIV/0!</v>
      </c>
      <c r="I84" s="194" t="e">
        <f t="shared" si="18"/>
        <v>#DIV/0!</v>
      </c>
      <c r="J84" s="194" t="e">
        <f t="shared" si="18"/>
        <v>#DIV/0!</v>
      </c>
      <c r="K84" s="108" t="s">
        <v>152</v>
      </c>
    </row>
    <row r="85" spans="1:11" ht="14.4" customHeight="1" thickBot="1" x14ac:dyDescent="0.3">
      <c r="A85" s="17"/>
      <c r="E85" s="32"/>
    </row>
    <row r="86" spans="1:11" ht="14.4" customHeight="1" thickBot="1" x14ac:dyDescent="0.3">
      <c r="A86" s="8" t="s">
        <v>163</v>
      </c>
      <c r="B86" s="147"/>
      <c r="C86" s="147"/>
      <c r="D86" s="148"/>
      <c r="E86" s="32"/>
    </row>
    <row r="87" spans="1:11" ht="14.4" customHeight="1" x14ac:dyDescent="0.25">
      <c r="A87" s="158" t="s">
        <v>164</v>
      </c>
      <c r="B87" s="52">
        <f>$B$8</f>
        <v>1.5</v>
      </c>
      <c r="C87" s="52"/>
      <c r="D87" s="114" t="s">
        <v>131</v>
      </c>
      <c r="E87" s="32"/>
      <c r="H87" s="150" t="str">
        <f>IF(B87&lt;0.5,"Error: The Minimum Cable Seccion in the Loop is 0,5 mm2","")</f>
        <v/>
      </c>
    </row>
    <row r="88" spans="1:11" ht="14.4" customHeight="1" x14ac:dyDescent="0.25">
      <c r="A88" s="39" t="s">
        <v>165</v>
      </c>
      <c r="B88" s="60">
        <f>$B$9</f>
        <v>2000</v>
      </c>
      <c r="C88" s="60"/>
      <c r="D88" s="109" t="s">
        <v>131</v>
      </c>
      <c r="E88" s="32"/>
      <c r="H88" s="150" t="str">
        <f>IF(B88&gt;3500,"Error: The Maximum Lenght in the Line is 3500 meters","")</f>
        <v/>
      </c>
    </row>
    <row r="89" spans="1:11" ht="14.4" customHeight="1" x14ac:dyDescent="0.25">
      <c r="A89" s="39" t="s">
        <v>166</v>
      </c>
      <c r="B89" s="156">
        <f>((($B$67*B88)/B87)*2)+(SUM(B16,B18,B20,B22,)*0.155)</f>
        <v>45.866666666666667</v>
      </c>
      <c r="C89" s="60"/>
      <c r="D89" s="123" t="s">
        <v>153</v>
      </c>
      <c r="E89" s="32"/>
    </row>
    <row r="90" spans="1:11" ht="14.4" customHeight="1" thickBot="1" x14ac:dyDescent="0.3">
      <c r="A90" s="140" t="s">
        <v>167</v>
      </c>
      <c r="B90" s="155">
        <f>B89/2</f>
        <v>22.933333333333334</v>
      </c>
      <c r="C90" s="124"/>
      <c r="D90" s="125" t="s">
        <v>153</v>
      </c>
      <c r="E90" s="32"/>
    </row>
    <row r="91" spans="1:11" ht="14.4" customHeight="1" thickBot="1" x14ac:dyDescent="0.3">
      <c r="A91" s="170" t="s">
        <v>168</v>
      </c>
      <c r="B91" s="172">
        <f>$B$72/$B$90</f>
        <v>0.30087209302325585</v>
      </c>
      <c r="C91" s="171"/>
      <c r="D91" s="173" t="s">
        <v>9</v>
      </c>
      <c r="E91" s="32"/>
    </row>
    <row r="92" spans="1:11" ht="14.4" customHeight="1" thickBot="1" x14ac:dyDescent="0.3">
      <c r="A92" s="160" t="s">
        <v>134</v>
      </c>
      <c r="B92" s="147"/>
      <c r="C92" s="147"/>
      <c r="D92" s="148"/>
      <c r="E92" s="32"/>
    </row>
    <row r="93" spans="1:11" ht="14.4" customHeight="1" thickBot="1" x14ac:dyDescent="0.3">
      <c r="A93" s="160" t="s">
        <v>135</v>
      </c>
      <c r="B93" s="148"/>
      <c r="C93" s="11"/>
      <c r="D93" s="159" t="str">
        <f>IF($B$71&gt;0.4,"FAIL",IF($B$91&gt;=$B$71,"OK","FAIL"))</f>
        <v>OK</v>
      </c>
      <c r="E93" s="32"/>
      <c r="H93" s="150" t="str">
        <f>IF($B$71&gt;0.4,"Error: The Loop Current is upper that Maximum Current allowed",IF($B$91&lt;$B$71,"Error: The Loop Current is upper that Maximum Current allowed",""))</f>
        <v/>
      </c>
    </row>
    <row r="94" spans="1:11" ht="14.4" customHeight="1" thickBot="1" x14ac:dyDescent="0.3">
      <c r="A94" s="160" t="s">
        <v>136</v>
      </c>
      <c r="B94" s="148"/>
      <c r="C94" s="136"/>
      <c r="D94" s="157" t="str">
        <f>IF($L$63&lt;=250,"OK","FAIL")</f>
        <v>OK</v>
      </c>
      <c r="E94" s="32"/>
      <c r="H94" s="150" t="str">
        <f>IF($L$63&gt;250,"Error: The Loop cannot contain more than 250 addresses","")</f>
        <v/>
      </c>
    </row>
    <row r="95" spans="1:11" ht="14.4" customHeight="1" x14ac:dyDescent="0.25">
      <c r="A95" s="17"/>
      <c r="E95" s="32"/>
    </row>
    <row r="97" spans="1:12" ht="27" customHeight="1" x14ac:dyDescent="0.25">
      <c r="A97" s="238" t="s">
        <v>13</v>
      </c>
      <c r="B97" s="238"/>
      <c r="C97" s="238"/>
      <c r="D97" s="238"/>
      <c r="E97" s="238"/>
      <c r="F97" s="238"/>
      <c r="G97" s="238"/>
      <c r="H97" s="238"/>
      <c r="I97" s="238"/>
      <c r="J97" s="238"/>
      <c r="K97" s="238"/>
      <c r="L97" s="238"/>
    </row>
  </sheetData>
  <sheetProtection algorithmName="SHA-512" hashValue="oighL4ZfIzKCLwvAcOx9l9Ugph52/8oL42aE3iUH1XDyBiLTnFdeVhC9PJcTS9Atb9KJHx/I01DacjNV2+Kbrg==" saltValue="2OTSL+MoVCZHpL4Mox5x5A==" spinCount="100000" sheet="1" sort="0" autoFilter="0" pivotTables="0"/>
  <mergeCells count="5">
    <mergeCell ref="J7:K7"/>
    <mergeCell ref="G8:I9"/>
    <mergeCell ref="J8:K8"/>
    <mergeCell ref="J9:K9"/>
    <mergeCell ref="A97:L97"/>
  </mergeCells>
  <conditionalFormatting sqref="I43 N39:N42">
    <cfRule type="expression" dxfId="155" priority="24" stopIfTrue="1">
      <formula>$B$38&gt;2</formula>
    </cfRule>
    <cfRule type="expression" dxfId="154" priority="25" stopIfTrue="1">
      <formula>$B$38&lt;3</formula>
    </cfRule>
  </conditionalFormatting>
  <conditionalFormatting sqref="N35:N36">
    <cfRule type="expression" dxfId="153" priority="22" stopIfTrue="1">
      <formula>$B$37&gt;4</formula>
    </cfRule>
    <cfRule type="expression" dxfId="152" priority="23" stopIfTrue="1">
      <formula>$B$37&lt;5</formula>
    </cfRule>
  </conditionalFormatting>
  <conditionalFormatting sqref="N33">
    <cfRule type="expression" dxfId="151" priority="20" stopIfTrue="1">
      <formula>$B$38&gt;2</formula>
    </cfRule>
    <cfRule type="expression" dxfId="150" priority="21" stopIfTrue="1">
      <formula>$B$38&lt;3</formula>
    </cfRule>
  </conditionalFormatting>
  <conditionalFormatting sqref="N34">
    <cfRule type="expression" dxfId="149" priority="18" stopIfTrue="1">
      <formula>$B$38&gt;2</formula>
    </cfRule>
    <cfRule type="expression" dxfId="148" priority="19" stopIfTrue="1">
      <formula>$B$38&lt;3</formula>
    </cfRule>
  </conditionalFormatting>
  <conditionalFormatting sqref="N38">
    <cfRule type="expression" dxfId="147" priority="14" stopIfTrue="1">
      <formula>$B$38&gt;2</formula>
    </cfRule>
    <cfRule type="expression" dxfId="146" priority="15" stopIfTrue="1">
      <formula>$B$38&lt;3</formula>
    </cfRule>
  </conditionalFormatting>
  <conditionalFormatting sqref="N37">
    <cfRule type="expression" dxfId="145" priority="16" stopIfTrue="1">
      <formula>$B$38&gt;2</formula>
    </cfRule>
    <cfRule type="expression" dxfId="144" priority="17" stopIfTrue="1">
      <formula>$B$38&lt;3</formula>
    </cfRule>
  </conditionalFormatting>
  <conditionalFormatting sqref="J15:J45 J52:J62">
    <cfRule type="cellIs" dxfId="143" priority="13" operator="equal">
      <formula>0</formula>
    </cfRule>
  </conditionalFormatting>
  <conditionalFormatting sqref="L9">
    <cfRule type="cellIs" dxfId="142" priority="9" stopIfTrue="1" operator="equal">
      <formula>"FAIL"</formula>
    </cfRule>
  </conditionalFormatting>
  <conditionalFormatting sqref="D93">
    <cfRule type="cellIs" dxfId="141" priority="12" stopIfTrue="1" operator="equal">
      <formula>"FAIL"</formula>
    </cfRule>
  </conditionalFormatting>
  <conditionalFormatting sqref="D94">
    <cfRule type="cellIs" dxfId="140" priority="11" stopIfTrue="1" operator="equal">
      <formula>"FAIL"</formula>
    </cfRule>
  </conditionalFormatting>
  <conditionalFormatting sqref="L8">
    <cfRule type="cellIs" dxfId="139" priority="10" stopIfTrue="1" operator="equal">
      <formula>"FAIL"</formula>
    </cfRule>
  </conditionalFormatting>
  <conditionalFormatting sqref="B76:J77">
    <cfRule type="containsErrors" dxfId="138" priority="8">
      <formula>ISERROR(B76)</formula>
    </cfRule>
  </conditionalFormatting>
  <conditionalFormatting sqref="B82:J83">
    <cfRule type="containsErrors" dxfId="137" priority="7">
      <formula>ISERROR(B82)</formula>
    </cfRule>
  </conditionalFormatting>
  <conditionalFormatting sqref="B78">
    <cfRule type="containsErrors" dxfId="136" priority="26">
      <formula>ISERROR(B78)</formula>
    </cfRule>
  </conditionalFormatting>
  <conditionalFormatting sqref="D78:J78">
    <cfRule type="containsErrors" dxfId="135" priority="6">
      <formula>ISERROR(D78)</formula>
    </cfRule>
  </conditionalFormatting>
  <conditionalFormatting sqref="B84">
    <cfRule type="containsErrors" dxfId="134" priority="5">
      <formula>ISERROR(B84)</formula>
    </cfRule>
  </conditionalFormatting>
  <conditionalFormatting sqref="D84:J84">
    <cfRule type="containsErrors" dxfId="133" priority="4">
      <formula>ISERROR(D84)</formula>
    </cfRule>
  </conditionalFormatting>
  <conditionalFormatting sqref="N54">
    <cfRule type="expression" dxfId="132" priority="2" stopIfTrue="1">
      <formula>$B$37&gt;4</formula>
    </cfRule>
    <cfRule type="expression" dxfId="131" priority="3" stopIfTrue="1">
      <formula>$B$37&lt;5</formula>
    </cfRule>
  </conditionalFormatting>
  <conditionalFormatting sqref="J46:J51">
    <cfRule type="cellIs" dxfId="130" priority="1" operator="equal">
      <formula>0</formula>
    </cfRule>
  </conditionalFormatting>
  <pageMargins left="0.78740157480314965" right="0.39370078740157483" top="0.39370078740157483" bottom="0.39370078740157483" header="0" footer="0"/>
  <pageSetup paperSize="9" scale="87" orientation="portrait" horizontalDpi="1200" verticalDpi="12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336B503-225B-4C18-9951-A9D7720316EA}">
          <x14:formula1>
            <xm:f>Datos!$F$16:$F$20</xm:f>
          </x14:formula1>
          <xm:sqref>B8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D5E19-6971-4A03-82B3-F34975D47FAC}">
  <sheetPr codeName="Hoja6">
    <pageSetUpPr fitToPage="1"/>
  </sheetPr>
  <dimension ref="A1:N97"/>
  <sheetViews>
    <sheetView zoomScale="120" zoomScaleNormal="120" workbookViewId="0">
      <pane xSplit="12" ySplit="14" topLeftCell="M15" activePane="bottomRight" state="frozen"/>
      <selection activeCell="A64" sqref="A64"/>
      <selection pane="topRight" activeCell="A64" sqref="A64"/>
      <selection pane="bottomLeft" activeCell="A64" sqref="A64"/>
      <selection pane="bottomRight" activeCell="D15" sqref="D15"/>
    </sheetView>
  </sheetViews>
  <sheetFormatPr baseColWidth="10" defaultRowHeight="13.2" x14ac:dyDescent="0.25"/>
  <cols>
    <col min="1" max="1" width="35.109375" customWidth="1"/>
    <col min="2" max="2" width="10.6640625" customWidth="1"/>
    <col min="3" max="3" width="11.109375" hidden="1" customWidth="1"/>
    <col min="4" max="4" width="12.77734375" bestFit="1" customWidth="1"/>
    <col min="5" max="6" width="10.6640625" hidden="1" customWidth="1"/>
    <col min="7" max="7" width="10.5546875" bestFit="1" customWidth="1"/>
    <col min="8" max="8" width="10.6640625" customWidth="1"/>
    <col min="9" max="9" width="5.5546875" bestFit="1" customWidth="1"/>
    <col min="10" max="10" width="7" customWidth="1"/>
    <col min="11" max="11" width="6.44140625" customWidth="1"/>
    <col min="12" max="12" width="6.5546875" customWidth="1"/>
    <col min="14" max="16" width="11.5546875" customWidth="1"/>
  </cols>
  <sheetData>
    <row r="1" spans="1:14" x14ac:dyDescent="0.25">
      <c r="H1" s="1"/>
      <c r="I1" s="2"/>
      <c r="J1" s="2"/>
      <c r="K1" s="2"/>
    </row>
    <row r="2" spans="1:14" x14ac:dyDescent="0.25">
      <c r="H2" s="1"/>
      <c r="I2" s="2"/>
      <c r="J2" s="2"/>
      <c r="K2" s="2"/>
    </row>
    <row r="3" spans="1:14" ht="14.4" x14ac:dyDescent="0.3">
      <c r="A3" s="3"/>
      <c r="H3" s="1"/>
      <c r="I3" s="2"/>
      <c r="J3" s="2"/>
      <c r="K3" s="2"/>
    </row>
    <row r="4" spans="1:14" ht="14.4" x14ac:dyDescent="0.3">
      <c r="A4" s="3"/>
      <c r="H4" s="1"/>
      <c r="I4" s="2"/>
      <c r="J4" s="2"/>
      <c r="K4" s="2"/>
    </row>
    <row r="5" spans="1:14" s="7" customFormat="1" ht="13.8" thickBot="1" x14ac:dyDescent="0.3">
      <c r="A5" s="4" t="str">
        <f>'System Calculation'!A7</f>
        <v>SYSTEM CALCULATOR DETNOV CAD-150 EXCEL TOOL</v>
      </c>
      <c r="B5" s="4"/>
      <c r="C5" s="4"/>
      <c r="D5" s="4"/>
      <c r="E5" s="4"/>
      <c r="F5" s="4"/>
      <c r="G5" s="4"/>
      <c r="H5" s="6"/>
      <c r="I5" s="5"/>
      <c r="J5" s="5"/>
      <c r="K5" s="5"/>
      <c r="L5" s="16" t="str">
        <f>'System Calculation'!J7</f>
        <v>SC 116 en 2019 f</v>
      </c>
    </row>
    <row r="6" spans="1:14" s="7" customFormat="1" ht="13.8" thickBot="1" x14ac:dyDescent="0.3">
      <c r="B6" s="29"/>
      <c r="C6" s="29"/>
      <c r="D6" s="29"/>
      <c r="E6" s="29"/>
      <c r="F6" s="29"/>
      <c r="G6" s="29"/>
      <c r="H6" s="36"/>
      <c r="I6" s="37"/>
      <c r="J6" s="37"/>
      <c r="K6" s="37"/>
      <c r="L6" s="38"/>
    </row>
    <row r="7" spans="1:14" s="7" customFormat="1" ht="13.8" thickBot="1" x14ac:dyDescent="0.3">
      <c r="A7" s="19" t="s">
        <v>62</v>
      </c>
      <c r="B7" s="115"/>
      <c r="C7" s="115"/>
      <c r="D7" s="116"/>
      <c r="E7" s="29"/>
      <c r="F7" s="29"/>
      <c r="G7" s="29"/>
      <c r="H7" s="36"/>
      <c r="J7" s="239" t="s">
        <v>134</v>
      </c>
      <c r="K7" s="243"/>
      <c r="L7" s="135"/>
      <c r="M7" s="38"/>
    </row>
    <row r="8" spans="1:14" s="7" customFormat="1" ht="13.8" thickBot="1" x14ac:dyDescent="0.3">
      <c r="A8" s="111" t="s">
        <v>129</v>
      </c>
      <c r="B8" s="117">
        <v>1.5</v>
      </c>
      <c r="C8" s="113"/>
      <c r="D8" s="114" t="s">
        <v>131</v>
      </c>
      <c r="E8" s="29"/>
      <c r="F8" s="29"/>
      <c r="G8" s="244" t="str">
        <f>IF(B9&gt;3500,"Error: The Maximum Lenght in the Line is 3500 m","")</f>
        <v/>
      </c>
      <c r="H8" s="244"/>
      <c r="I8" s="245"/>
      <c r="J8" s="239" t="s">
        <v>135</v>
      </c>
      <c r="K8" s="240"/>
      <c r="L8" s="159" t="str">
        <f>IF($B$71&gt;0.4,"FAIL",IF($B$91&gt;=$B$71,"OK","FAIL"))</f>
        <v>OK</v>
      </c>
      <c r="N8" s="150" t="str">
        <f>IF($B$71&gt;0.4,"Error: The Loop Current is upper that Maximum Current allowed",IF($B$91&lt;$B$71,"Error: The Loop Current is upper that Maximum Current allowed",""))</f>
        <v/>
      </c>
    </row>
    <row r="9" spans="1:14" s="7" customFormat="1" ht="13.8" thickBot="1" x14ac:dyDescent="0.3">
      <c r="A9" s="26" t="s">
        <v>130</v>
      </c>
      <c r="B9" s="118">
        <v>2000</v>
      </c>
      <c r="C9" s="110"/>
      <c r="D9" s="34" t="s">
        <v>132</v>
      </c>
      <c r="E9" s="29"/>
      <c r="F9" s="29"/>
      <c r="G9" s="244"/>
      <c r="H9" s="244"/>
      <c r="I9" s="245"/>
      <c r="J9" s="241" t="s">
        <v>136</v>
      </c>
      <c r="K9" s="242"/>
      <c r="L9" s="157" t="str">
        <f>IF($L$63&lt;=250,"OK","FAIL")</f>
        <v>OK</v>
      </c>
      <c r="N9" s="150" t="str">
        <f>IF($L$63&gt;250,"Error: The Loop cannot contain more than 250 addresses","")</f>
        <v/>
      </c>
    </row>
    <row r="10" spans="1:14" s="7" customFormat="1" x14ac:dyDescent="0.25">
      <c r="A10" s="149" t="s">
        <v>150</v>
      </c>
      <c r="B10" s="29"/>
      <c r="C10" s="29"/>
      <c r="D10" s="29"/>
      <c r="E10" s="29"/>
      <c r="F10" s="29"/>
      <c r="G10" s="29"/>
      <c r="H10" s="36"/>
      <c r="I10" s="37"/>
      <c r="J10" s="37"/>
      <c r="K10" s="37"/>
      <c r="L10" s="38"/>
    </row>
    <row r="11" spans="1:14" s="7" customFormat="1" x14ac:dyDescent="0.25">
      <c r="A11" s="149"/>
      <c r="B11" s="29"/>
      <c r="C11" s="29"/>
      <c r="D11" s="29"/>
      <c r="E11" s="29"/>
      <c r="F11" s="29"/>
      <c r="G11" s="29"/>
      <c r="H11" s="36"/>
      <c r="I11" s="37"/>
      <c r="J11" s="37"/>
      <c r="K11" s="37"/>
      <c r="L11" s="38"/>
    </row>
    <row r="12" spans="1:14" ht="13.8" thickBot="1" x14ac:dyDescent="0.3">
      <c r="B12" s="40" t="s">
        <v>10</v>
      </c>
      <c r="C12" s="15" t="s">
        <v>10</v>
      </c>
    </row>
    <row r="13" spans="1:14" ht="13.8" thickBot="1" x14ac:dyDescent="0.3">
      <c r="A13" s="8" t="s">
        <v>175</v>
      </c>
      <c r="B13" s="9"/>
      <c r="C13" s="9"/>
      <c r="D13" s="9"/>
      <c r="E13" s="9"/>
      <c r="F13" s="9"/>
      <c r="G13" s="9"/>
      <c r="H13" s="147"/>
      <c r="I13" s="147"/>
      <c r="J13" s="147"/>
      <c r="K13" s="147"/>
      <c r="L13" s="148"/>
    </row>
    <row r="14" spans="1:14" s="7" customFormat="1" ht="13.8" thickBot="1" x14ac:dyDescent="0.3">
      <c r="A14" s="143" t="s">
        <v>0</v>
      </c>
      <c r="B14" s="144" t="s">
        <v>1</v>
      </c>
      <c r="C14" s="144" t="s">
        <v>38</v>
      </c>
      <c r="D14" s="144" t="s">
        <v>38</v>
      </c>
      <c r="E14" s="144" t="s">
        <v>110</v>
      </c>
      <c r="F14" s="144" t="s">
        <v>39</v>
      </c>
      <c r="G14" s="144" t="s">
        <v>39</v>
      </c>
      <c r="H14" s="145" t="s">
        <v>133</v>
      </c>
      <c r="I14" s="145" t="s">
        <v>146</v>
      </c>
      <c r="J14" s="145" t="s">
        <v>147</v>
      </c>
      <c r="K14" s="145" t="s">
        <v>148</v>
      </c>
      <c r="L14" s="146" t="s">
        <v>149</v>
      </c>
    </row>
    <row r="15" spans="1:14" x14ac:dyDescent="0.25">
      <c r="A15" s="132" t="str">
        <f>'SC_Loop 1'!A15</f>
        <v>DOD-220A</v>
      </c>
      <c r="B15" s="112"/>
      <c r="C15" s="198">
        <f>'SC_Loop 1'!C15</f>
        <v>2.9999999999999997E-4</v>
      </c>
      <c r="D15" s="133">
        <f>B15*C15</f>
        <v>0</v>
      </c>
      <c r="E15" s="234">
        <f>IF(B15&gt;10,10,B15)</f>
        <v>0</v>
      </c>
      <c r="F15" s="198">
        <f>'SC_Loop 1'!F15</f>
        <v>3.0000000000000001E-3</v>
      </c>
      <c r="G15" s="133">
        <f>E15*F15</f>
        <v>0</v>
      </c>
      <c r="H15" s="52"/>
      <c r="I15" s="52" t="str">
        <f t="shared" ref="I15:I26" si="0">IF(B15&lt;&gt;0,B15," ")</f>
        <v xml:space="preserve"> </v>
      </c>
      <c r="J15" s="52"/>
      <c r="K15" s="52"/>
      <c r="L15" s="134" t="str">
        <f>IF(I15&lt;&gt;0,I15," ")</f>
        <v xml:space="preserve"> </v>
      </c>
    </row>
    <row r="16" spans="1:14" x14ac:dyDescent="0.25">
      <c r="A16" s="22" t="str">
        <f>'SC_Loop 1'!A16</f>
        <v>DOD-220A-I</v>
      </c>
      <c r="B16" s="23"/>
      <c r="C16" s="24">
        <f>'SC_Loop 1'!C16</f>
        <v>2.9999999999999997E-4</v>
      </c>
      <c r="D16" s="68">
        <f>B16*C16</f>
        <v>0</v>
      </c>
      <c r="E16" s="234">
        <f t="shared" ref="E16:E22" si="1">IF(B16&gt;10,10,B16)</f>
        <v>0</v>
      </c>
      <c r="F16" s="24">
        <f>'SC_Loop 1'!F16</f>
        <v>3.0000000000000001E-3</v>
      </c>
      <c r="G16" s="68">
        <f>E16*F16</f>
        <v>0</v>
      </c>
      <c r="H16" s="60"/>
      <c r="I16" s="60" t="str">
        <f t="shared" si="0"/>
        <v xml:space="preserve"> </v>
      </c>
      <c r="J16" s="60"/>
      <c r="K16" s="60"/>
      <c r="L16" s="123" t="str">
        <f t="shared" ref="L16:L26" si="2">IF(I16&lt;&gt;0,I16," ")</f>
        <v xml:space="preserve"> </v>
      </c>
    </row>
    <row r="17" spans="1:12" x14ac:dyDescent="0.25">
      <c r="A17" s="22" t="str">
        <f>'SC_Loop 1'!A17</f>
        <v>DOTD-230A</v>
      </c>
      <c r="B17" s="23"/>
      <c r="C17" s="24">
        <f>'SC_Loop 1'!C17</f>
        <v>2.9999999999999997E-4</v>
      </c>
      <c r="D17" s="68">
        <f t="shared" ref="D17:D62" si="3">B17*C17</f>
        <v>0</v>
      </c>
      <c r="E17" s="234">
        <f t="shared" si="1"/>
        <v>0</v>
      </c>
      <c r="F17" s="24">
        <f>'SC_Loop 1'!F17</f>
        <v>3.0000000000000001E-3</v>
      </c>
      <c r="G17" s="68">
        <f t="shared" ref="G17:G62" si="4">E17*F17</f>
        <v>0</v>
      </c>
      <c r="H17" s="60"/>
      <c r="I17" s="60" t="str">
        <f t="shared" si="0"/>
        <v xml:space="preserve"> </v>
      </c>
      <c r="J17" s="60"/>
      <c r="K17" s="60"/>
      <c r="L17" s="123" t="str">
        <f t="shared" si="2"/>
        <v xml:space="preserve"> </v>
      </c>
    </row>
    <row r="18" spans="1:12" x14ac:dyDescent="0.25">
      <c r="A18" s="22" t="str">
        <f>'SC_Loop 1'!A18</f>
        <v>DOTD-230A-I</v>
      </c>
      <c r="B18" s="23"/>
      <c r="C18" s="24">
        <f>'SC_Loop 1'!C18</f>
        <v>2.9999999999999997E-4</v>
      </c>
      <c r="D18" s="68">
        <f t="shared" si="3"/>
        <v>0</v>
      </c>
      <c r="E18" s="234">
        <f t="shared" si="1"/>
        <v>0</v>
      </c>
      <c r="F18" s="24">
        <f>'SC_Loop 1'!F18</f>
        <v>3.0000000000000001E-3</v>
      </c>
      <c r="G18" s="68">
        <f t="shared" si="4"/>
        <v>0</v>
      </c>
      <c r="H18" s="60"/>
      <c r="I18" s="60" t="str">
        <f t="shared" si="0"/>
        <v xml:space="preserve"> </v>
      </c>
      <c r="J18" s="60"/>
      <c r="K18" s="60"/>
      <c r="L18" s="123" t="str">
        <f t="shared" si="2"/>
        <v xml:space="preserve"> </v>
      </c>
    </row>
    <row r="19" spans="1:12" x14ac:dyDescent="0.25">
      <c r="A19" s="22" t="str">
        <f>'SC_Loop 1'!A19</f>
        <v>DTD-210A</v>
      </c>
      <c r="B19" s="23"/>
      <c r="C19" s="24">
        <f>'SC_Loop 1'!C19</f>
        <v>2.9999999999999997E-4</v>
      </c>
      <c r="D19" s="68">
        <f t="shared" si="3"/>
        <v>0</v>
      </c>
      <c r="E19" s="234">
        <f t="shared" si="1"/>
        <v>0</v>
      </c>
      <c r="F19" s="24">
        <f>'SC_Loop 1'!F19</f>
        <v>3.0000000000000001E-3</v>
      </c>
      <c r="G19" s="68">
        <f t="shared" si="4"/>
        <v>0</v>
      </c>
      <c r="H19" s="60"/>
      <c r="I19" s="60" t="str">
        <f t="shared" si="0"/>
        <v xml:space="preserve"> </v>
      </c>
      <c r="J19" s="60"/>
      <c r="K19" s="60"/>
      <c r="L19" s="123" t="str">
        <f t="shared" si="2"/>
        <v xml:space="preserve"> </v>
      </c>
    </row>
    <row r="20" spans="1:12" x14ac:dyDescent="0.25">
      <c r="A20" s="22" t="str">
        <f>'SC_Loop 1'!A20</f>
        <v>DTD-210A-I</v>
      </c>
      <c r="B20" s="23"/>
      <c r="C20" s="24">
        <f>'SC_Loop 1'!C20</f>
        <v>2.9999999999999997E-4</v>
      </c>
      <c r="D20" s="68">
        <f t="shared" si="3"/>
        <v>0</v>
      </c>
      <c r="E20" s="234">
        <f t="shared" si="1"/>
        <v>0</v>
      </c>
      <c r="F20" s="24">
        <f>'SC_Loop 1'!F20</f>
        <v>3.0000000000000001E-3</v>
      </c>
      <c r="G20" s="68">
        <f t="shared" si="4"/>
        <v>0</v>
      </c>
      <c r="H20" s="60"/>
      <c r="I20" s="60" t="str">
        <f t="shared" si="0"/>
        <v xml:space="preserve"> </v>
      </c>
      <c r="J20" s="60"/>
      <c r="K20" s="60"/>
      <c r="L20" s="123" t="str">
        <f t="shared" si="2"/>
        <v xml:space="preserve"> </v>
      </c>
    </row>
    <row r="21" spans="1:12" x14ac:dyDescent="0.25">
      <c r="A21" s="22" t="str">
        <f>'SC_Loop 1'!A21</f>
        <v>DTD-215A</v>
      </c>
      <c r="B21" s="23"/>
      <c r="C21" s="24">
        <f>'SC_Loop 1'!C21</f>
        <v>2.9999999999999997E-4</v>
      </c>
      <c r="D21" s="68">
        <f t="shared" si="3"/>
        <v>0</v>
      </c>
      <c r="E21" s="234">
        <f t="shared" si="1"/>
        <v>0</v>
      </c>
      <c r="F21" s="24">
        <f>'SC_Loop 1'!F21</f>
        <v>3.0000000000000001E-3</v>
      </c>
      <c r="G21" s="68">
        <f t="shared" si="4"/>
        <v>0</v>
      </c>
      <c r="H21" s="60"/>
      <c r="I21" s="60" t="str">
        <f t="shared" si="0"/>
        <v xml:space="preserve"> </v>
      </c>
      <c r="J21" s="60"/>
      <c r="K21" s="60"/>
      <c r="L21" s="123" t="str">
        <f t="shared" si="2"/>
        <v xml:space="preserve"> </v>
      </c>
    </row>
    <row r="22" spans="1:12" x14ac:dyDescent="0.25">
      <c r="A22" s="22" t="str">
        <f>'SC_Loop 1'!A22</f>
        <v>DTD-215A-I</v>
      </c>
      <c r="B22" s="23"/>
      <c r="C22" s="24">
        <f>'SC_Loop 1'!C22</f>
        <v>2.9999999999999997E-4</v>
      </c>
      <c r="D22" s="68">
        <f t="shared" si="3"/>
        <v>0</v>
      </c>
      <c r="E22" s="234">
        <f t="shared" si="1"/>
        <v>0</v>
      </c>
      <c r="F22" s="24">
        <f>'SC_Loop 1'!F22</f>
        <v>3.0000000000000001E-3</v>
      </c>
      <c r="G22" s="68">
        <f t="shared" si="4"/>
        <v>0</v>
      </c>
      <c r="H22" s="60"/>
      <c r="I22" s="60" t="str">
        <f t="shared" si="0"/>
        <v xml:space="preserve"> </v>
      </c>
      <c r="J22" s="60"/>
      <c r="K22" s="60"/>
      <c r="L22" s="123" t="str">
        <f t="shared" si="2"/>
        <v xml:space="preserve"> </v>
      </c>
    </row>
    <row r="23" spans="1:12" x14ac:dyDescent="0.25">
      <c r="A23" s="22" t="str">
        <f>'SC_Loop 1'!A23</f>
        <v>DGD-600</v>
      </c>
      <c r="B23" s="23"/>
      <c r="C23" s="24">
        <f>'SC_Loop 1'!C23</f>
        <v>9.1E-4</v>
      </c>
      <c r="D23" s="68">
        <f t="shared" si="3"/>
        <v>0</v>
      </c>
      <c r="E23" s="234">
        <f>IF(B23&gt;10,10,B23)</f>
        <v>0</v>
      </c>
      <c r="F23" s="24">
        <f>'SC_Loop 1'!F23</f>
        <v>1.1000000000000001E-3</v>
      </c>
      <c r="G23" s="68">
        <f t="shared" si="4"/>
        <v>0</v>
      </c>
      <c r="H23" s="60"/>
      <c r="I23" s="60" t="str">
        <f t="shared" si="0"/>
        <v xml:space="preserve"> </v>
      </c>
      <c r="J23" s="60"/>
      <c r="K23" s="60"/>
      <c r="L23" s="123" t="str">
        <f t="shared" si="2"/>
        <v xml:space="preserve"> </v>
      </c>
    </row>
    <row r="24" spans="1:12" x14ac:dyDescent="0.25">
      <c r="A24" s="22" t="str">
        <f>'SC_Loop 1'!A24</f>
        <v>DGD-600-AC</v>
      </c>
      <c r="B24" s="23"/>
      <c r="C24" s="24">
        <f>'SC_Loop 1'!C24</f>
        <v>9.1E-4</v>
      </c>
      <c r="D24" s="68">
        <f t="shared" si="3"/>
        <v>0</v>
      </c>
      <c r="E24" s="234">
        <f t="shared" ref="E24:E26" si="5">IF(B24&gt;10,10,B24)</f>
        <v>0</v>
      </c>
      <c r="F24" s="24">
        <f>'SC_Loop 1'!F24</f>
        <v>1.1000000000000001E-3</v>
      </c>
      <c r="G24" s="68">
        <f t="shared" si="4"/>
        <v>0</v>
      </c>
      <c r="H24" s="60"/>
      <c r="I24" s="60" t="str">
        <f t="shared" si="0"/>
        <v xml:space="preserve"> </v>
      </c>
      <c r="J24" s="60"/>
      <c r="K24" s="60"/>
      <c r="L24" s="123" t="str">
        <f t="shared" si="2"/>
        <v xml:space="preserve"> </v>
      </c>
    </row>
    <row r="25" spans="1:12" x14ac:dyDescent="0.25">
      <c r="A25" s="22" t="str">
        <f>'SC_Loop 1'!A25</f>
        <v>DGD-620</v>
      </c>
      <c r="B25" s="23"/>
      <c r="C25" s="24">
        <f>'SC_Loop 1'!C25</f>
        <v>9.1E-4</v>
      </c>
      <c r="D25" s="68">
        <f t="shared" si="3"/>
        <v>0</v>
      </c>
      <c r="E25" s="234">
        <f t="shared" si="5"/>
        <v>0</v>
      </c>
      <c r="F25" s="24">
        <f>'SC_Loop 1'!F25</f>
        <v>1.1000000000000001E-3</v>
      </c>
      <c r="G25" s="68">
        <f t="shared" si="4"/>
        <v>0</v>
      </c>
      <c r="H25" s="60"/>
      <c r="I25" s="60" t="str">
        <f t="shared" si="0"/>
        <v xml:space="preserve"> </v>
      </c>
      <c r="J25" s="60"/>
      <c r="K25" s="60"/>
      <c r="L25" s="123" t="str">
        <f t="shared" si="2"/>
        <v xml:space="preserve"> </v>
      </c>
    </row>
    <row r="26" spans="1:12" x14ac:dyDescent="0.25">
      <c r="A26" s="22" t="str">
        <f>'SC_Loop 1'!A26</f>
        <v>DGD-620-AC</v>
      </c>
      <c r="B26" s="23"/>
      <c r="C26" s="24">
        <f>'SC_Loop 1'!C26</f>
        <v>9.1E-4</v>
      </c>
      <c r="D26" s="68">
        <f t="shared" si="3"/>
        <v>0</v>
      </c>
      <c r="E26" s="234">
        <f t="shared" si="5"/>
        <v>0</v>
      </c>
      <c r="F26" s="24">
        <f>'SC_Loop 1'!F26</f>
        <v>1.1000000000000001E-3</v>
      </c>
      <c r="G26" s="68">
        <f t="shared" si="4"/>
        <v>0</v>
      </c>
      <c r="H26" s="60"/>
      <c r="I26" s="60" t="str">
        <f t="shared" si="0"/>
        <v xml:space="preserve"> </v>
      </c>
      <c r="J26" s="60"/>
      <c r="K26" s="60"/>
      <c r="L26" s="123" t="str">
        <f t="shared" si="2"/>
        <v xml:space="preserve"> </v>
      </c>
    </row>
    <row r="27" spans="1:12" x14ac:dyDescent="0.25">
      <c r="A27" s="22" t="str">
        <f>'SC_Loop 1'!A27</f>
        <v>MAD-401 &amp; MAD-401-I</v>
      </c>
      <c r="B27" s="23"/>
      <c r="C27" s="24">
        <f>'SC_Loop 1'!C27</f>
        <v>2.9999999999999997E-4</v>
      </c>
      <c r="D27" s="68">
        <f t="shared" si="3"/>
        <v>0</v>
      </c>
      <c r="E27" s="233">
        <f>B27*'System Calculation'!$I$14</f>
        <v>0</v>
      </c>
      <c r="F27" s="24">
        <f>'SC_Loop 1'!F27</f>
        <v>3.0000000000000001E-3</v>
      </c>
      <c r="G27" s="68">
        <f t="shared" si="4"/>
        <v>0</v>
      </c>
      <c r="H27" s="60"/>
      <c r="I27" s="60"/>
      <c r="J27" s="60" t="str">
        <f>IF(B27&lt;&gt;0,B27," ")</f>
        <v xml:space="preserve"> </v>
      </c>
      <c r="K27" s="60"/>
      <c r="L27" s="123" t="str">
        <f>IF(J27&lt;&gt;0,J27," ")</f>
        <v xml:space="preserve"> </v>
      </c>
    </row>
    <row r="28" spans="1:12" x14ac:dyDescent="0.25">
      <c r="A28" s="22" t="str">
        <f>'SC_Loop 1'!A28</f>
        <v>MAD-402 &amp; MAD-402-I</v>
      </c>
      <c r="B28" s="23"/>
      <c r="C28" s="24">
        <f>'SC_Loop 1'!C28</f>
        <v>2.9999999999999997E-4</v>
      </c>
      <c r="D28" s="68">
        <f t="shared" si="3"/>
        <v>0</v>
      </c>
      <c r="E28" s="233">
        <f>B28*'System Calculation'!$I$14</f>
        <v>0</v>
      </c>
      <c r="F28" s="24">
        <f>'SC_Loop 1'!F28</f>
        <v>3.0000000000000001E-3</v>
      </c>
      <c r="G28" s="68">
        <f t="shared" si="4"/>
        <v>0</v>
      </c>
      <c r="H28" s="60"/>
      <c r="I28" s="60"/>
      <c r="J28" s="60">
        <f>IF(B28&lt;&gt;0,B28,0)</f>
        <v>0</v>
      </c>
      <c r="K28" s="60"/>
      <c r="L28" s="123" t="str">
        <f>IF(J28&lt;&gt;0,2*J28," ")</f>
        <v xml:space="preserve"> </v>
      </c>
    </row>
    <row r="29" spans="1:12" x14ac:dyDescent="0.25">
      <c r="A29" s="22" t="str">
        <f>'SC_Loop 1'!A29</f>
        <v>MAD-405-I</v>
      </c>
      <c r="B29" s="23"/>
      <c r="C29" s="24">
        <f>'SC_Loop 1'!C29</f>
        <v>2.9999999999999997E-4</v>
      </c>
      <c r="D29" s="68">
        <f t="shared" si="3"/>
        <v>0</v>
      </c>
      <c r="E29" s="233">
        <f>B29*'System Calculation'!$I$14</f>
        <v>0</v>
      </c>
      <c r="F29" s="24">
        <f>'SC_Loop 1'!F29</f>
        <v>3.0000000000000001E-3</v>
      </c>
      <c r="G29" s="68">
        <f t="shared" si="4"/>
        <v>0</v>
      </c>
      <c r="H29" s="60"/>
      <c r="I29" s="60"/>
      <c r="J29" s="60">
        <f>IF(B29&lt;&gt;0,B29,0)</f>
        <v>0</v>
      </c>
      <c r="K29" s="60"/>
      <c r="L29" s="123" t="str">
        <f>IF(J29&lt;&gt;0,5*J29," ")</f>
        <v xml:space="preserve"> </v>
      </c>
    </row>
    <row r="30" spans="1:12" x14ac:dyDescent="0.25">
      <c r="A30" s="22" t="str">
        <f>'SC_Loop 1'!A30</f>
        <v>MAD-409-I</v>
      </c>
      <c r="B30" s="23"/>
      <c r="C30" s="24">
        <f>'SC_Loop 1'!C30</f>
        <v>2.9999999999999997E-4</v>
      </c>
      <c r="D30" s="68">
        <f t="shared" si="3"/>
        <v>0</v>
      </c>
      <c r="E30" s="233">
        <f>B30*'System Calculation'!$I$14</f>
        <v>0</v>
      </c>
      <c r="F30" s="24">
        <f>'SC_Loop 1'!F30</f>
        <v>3.0000000000000001E-3</v>
      </c>
      <c r="G30" s="68">
        <f t="shared" si="4"/>
        <v>0</v>
      </c>
      <c r="H30" s="60"/>
      <c r="I30" s="60"/>
      <c r="J30" s="60">
        <f>IF(B30&lt;&gt;0,B30,0)</f>
        <v>0</v>
      </c>
      <c r="K30" s="60"/>
      <c r="L30" s="123" t="str">
        <f>IF(J30&lt;&gt;0,10*J30," ")</f>
        <v xml:space="preserve"> </v>
      </c>
    </row>
    <row r="31" spans="1:12" x14ac:dyDescent="0.25">
      <c r="A31" s="22" t="str">
        <f>'SC_Loop 1'!A31</f>
        <v>MAD-411 &amp; MAD-411-I</v>
      </c>
      <c r="B31" s="23"/>
      <c r="C31" s="24">
        <f>'SC_Loop 1'!C31</f>
        <v>2.9999999999999997E-4</v>
      </c>
      <c r="D31" s="68">
        <f t="shared" si="3"/>
        <v>0</v>
      </c>
      <c r="E31" s="233">
        <f>B31*'System Calculation'!$I$14</f>
        <v>0</v>
      </c>
      <c r="F31" s="24">
        <f>'SC_Loop 1'!F31</f>
        <v>3.0000000000000001E-3</v>
      </c>
      <c r="G31" s="68">
        <f t="shared" si="4"/>
        <v>0</v>
      </c>
      <c r="H31" s="60"/>
      <c r="I31" s="60"/>
      <c r="J31" s="60" t="str">
        <f>IF(B31&lt;&gt;0,B31," ")</f>
        <v xml:space="preserve"> </v>
      </c>
      <c r="K31" s="60"/>
      <c r="L31" s="123" t="str">
        <f>IF(J31&lt;&gt;0,J31," ")</f>
        <v xml:space="preserve"> </v>
      </c>
    </row>
    <row r="32" spans="1:12" x14ac:dyDescent="0.25">
      <c r="A32" s="22" t="str">
        <f>'SC_Loop 1'!A32</f>
        <v>MAD-412 &amp; MAD-412-I</v>
      </c>
      <c r="B32" s="23"/>
      <c r="C32" s="24">
        <f>'SC_Loop 1'!C32</f>
        <v>2.9999999999999997E-4</v>
      </c>
      <c r="D32" s="68">
        <f t="shared" si="3"/>
        <v>0</v>
      </c>
      <c r="E32" s="233">
        <f>B32*'System Calculation'!$I$14</f>
        <v>0</v>
      </c>
      <c r="F32" s="24">
        <f>'SC_Loop 1'!F32</f>
        <v>3.0000000000000001E-3</v>
      </c>
      <c r="G32" s="68">
        <f t="shared" si="4"/>
        <v>0</v>
      </c>
      <c r="H32" s="60"/>
      <c r="I32" s="60"/>
      <c r="J32" s="60">
        <f t="shared" ref="J32:J38" si="6">IF(B32&lt;&gt;0,B32,0)</f>
        <v>0</v>
      </c>
      <c r="K32" s="60"/>
      <c r="L32" s="123" t="str">
        <f>IF(J32&lt;&gt;0,2*J32," ")</f>
        <v xml:space="preserve"> </v>
      </c>
    </row>
    <row r="33" spans="1:14" x14ac:dyDescent="0.25">
      <c r="A33" s="22" t="str">
        <f>'SC_Loop 1'!A33</f>
        <v>MAD-415-I</v>
      </c>
      <c r="B33" s="23"/>
      <c r="C33" s="24">
        <f>'SC_Loop 1'!C33</f>
        <v>2.9999999999999997E-4</v>
      </c>
      <c r="D33" s="68">
        <f t="shared" si="3"/>
        <v>0</v>
      </c>
      <c r="E33" s="233">
        <f>B33*'System Calculation'!$I$14</f>
        <v>0</v>
      </c>
      <c r="F33" s="24">
        <f>'SC_Loop 1'!F33</f>
        <v>3.0000000000000001E-3</v>
      </c>
      <c r="G33" s="68">
        <f t="shared" si="4"/>
        <v>0</v>
      </c>
      <c r="H33" s="60"/>
      <c r="I33" s="60"/>
      <c r="J33" s="60">
        <f t="shared" si="6"/>
        <v>0</v>
      </c>
      <c r="K33" s="60"/>
      <c r="L33" s="123" t="str">
        <f>IF(J33&lt;&gt;0,5*J33," ")</f>
        <v xml:space="preserve"> </v>
      </c>
      <c r="N33" s="195" t="str">
        <f>IF(AND(B33&gt;0),"Info: External 24V needed. Control Panel could provide from 24Vaux, if 500mA maximum current isn't exceeded."," ")</f>
        <v xml:space="preserve"> </v>
      </c>
    </row>
    <row r="34" spans="1:14" x14ac:dyDescent="0.25">
      <c r="A34" s="22" t="str">
        <f>'SC_Loop 1'!A34</f>
        <v>MAD-419-I</v>
      </c>
      <c r="B34" s="23"/>
      <c r="C34" s="24">
        <f>'SC_Loop 1'!C34</f>
        <v>2.9999999999999997E-4</v>
      </c>
      <c r="D34" s="68">
        <f t="shared" si="3"/>
        <v>0</v>
      </c>
      <c r="E34" s="233">
        <f>B34*'System Calculation'!$I$14</f>
        <v>0</v>
      </c>
      <c r="F34" s="24">
        <f>'SC_Loop 1'!F34</f>
        <v>3.0000000000000001E-3</v>
      </c>
      <c r="G34" s="68">
        <f t="shared" si="4"/>
        <v>0</v>
      </c>
      <c r="H34" s="60"/>
      <c r="I34" s="60"/>
      <c r="J34" s="60">
        <f t="shared" si="6"/>
        <v>0</v>
      </c>
      <c r="K34" s="60"/>
      <c r="L34" s="123" t="str">
        <f>IF(J34&lt;&gt;0,10*J34," ")</f>
        <v xml:space="preserve"> </v>
      </c>
      <c r="N34" s="41" t="str">
        <f>IF(AND(B34&gt;0),"Info: External 24V needed. Control Panel could provide from 24Vaux, if 500mA maximum current isn't exceeded."," ")</f>
        <v xml:space="preserve"> </v>
      </c>
    </row>
    <row r="35" spans="1:14" x14ac:dyDescent="0.25">
      <c r="A35" s="22" t="str">
        <f>'SC_Loop 1'!A35</f>
        <v>MAD-421 &amp; MAD-421-I</v>
      </c>
      <c r="B35" s="23"/>
      <c r="C35" s="24">
        <f>'SC_Loop 1'!C35</f>
        <v>2.9999999999999997E-4</v>
      </c>
      <c r="D35" s="68">
        <f t="shared" si="3"/>
        <v>0</v>
      </c>
      <c r="E35" s="233">
        <f>B35*'System Calculation'!$I$14</f>
        <v>0</v>
      </c>
      <c r="F35" s="24">
        <f>'SC_Loop 1'!F35</f>
        <v>3.0000000000000001E-3</v>
      </c>
      <c r="G35" s="68">
        <f t="shared" si="4"/>
        <v>0</v>
      </c>
      <c r="H35" s="60"/>
      <c r="I35" s="60"/>
      <c r="J35" s="60">
        <f t="shared" si="6"/>
        <v>0</v>
      </c>
      <c r="K35" s="60"/>
      <c r="L35" s="123" t="str">
        <f>IF(J35&lt;&gt;0,2*J35," ")</f>
        <v xml:space="preserve"> </v>
      </c>
      <c r="N35" s="41"/>
    </row>
    <row r="36" spans="1:14" x14ac:dyDescent="0.25">
      <c r="A36" s="22" t="str">
        <f>'SC_Loop 1'!A36</f>
        <v>MAD-422 &amp; MAD-422-I</v>
      </c>
      <c r="B36" s="23"/>
      <c r="C36" s="24">
        <f>'SC_Loop 1'!C36</f>
        <v>2.9999999999999997E-4</v>
      </c>
      <c r="D36" s="68">
        <f t="shared" si="3"/>
        <v>0</v>
      </c>
      <c r="E36" s="233">
        <f>B36*'System Calculation'!$I$14</f>
        <v>0</v>
      </c>
      <c r="F36" s="24">
        <f>'SC_Loop 1'!F36</f>
        <v>3.0000000000000001E-3</v>
      </c>
      <c r="G36" s="68">
        <f t="shared" si="4"/>
        <v>0</v>
      </c>
      <c r="H36" s="60"/>
      <c r="I36" s="60"/>
      <c r="J36" s="60">
        <f t="shared" si="6"/>
        <v>0</v>
      </c>
      <c r="K36" s="60"/>
      <c r="L36" s="123" t="str">
        <f>IF(J36&lt;&gt;0,4*J36," ")</f>
        <v xml:space="preserve"> </v>
      </c>
      <c r="N36" s="41" t="str">
        <f>IF(AND(B36&gt;0,B36&lt;5),CONCATENATE("Info: External 24V needed. Control Panel could provide from 24Vaux, if 500mA maximum current isn't exceeded. Current requested from device(s) = ",D36,"mA."),IF(B36=0," ",IF(OR(B36=5,B36&gt;5),CONCATENATE("Warning: External 24V PSU is mandatory. Current requested from devices = ",D36,"mA.")," ")))</f>
        <v xml:space="preserve"> </v>
      </c>
    </row>
    <row r="37" spans="1:14" x14ac:dyDescent="0.25">
      <c r="A37" s="22" t="str">
        <f>'SC_Loop 1'!A37</f>
        <v>MAD-425-I</v>
      </c>
      <c r="B37" s="23"/>
      <c r="C37" s="24">
        <f>'SC_Loop 1'!C37</f>
        <v>2.9999999999999997E-4</v>
      </c>
      <c r="D37" s="68">
        <f t="shared" si="3"/>
        <v>0</v>
      </c>
      <c r="E37" s="233">
        <f>B37*'System Calculation'!$I$14</f>
        <v>0</v>
      </c>
      <c r="F37" s="24">
        <f>'SC_Loop 1'!F37</f>
        <v>3.0000000000000001E-3</v>
      </c>
      <c r="G37" s="68">
        <f t="shared" si="4"/>
        <v>0</v>
      </c>
      <c r="H37" s="60"/>
      <c r="I37" s="60"/>
      <c r="J37" s="60">
        <f t="shared" si="6"/>
        <v>0</v>
      </c>
      <c r="K37" s="60"/>
      <c r="L37" s="123" t="str">
        <f>IF(J37&lt;&gt;0,10*J37," ")</f>
        <v xml:space="preserve"> </v>
      </c>
      <c r="N37" s="41" t="str">
        <f t="shared" ref="N37:N42" si="7">IF(AND(B37&gt;0),"Info: External 24V needed. Control Panel could provide from 24Vaux, if 500mA maximum current isn't exceeded."," ")</f>
        <v xml:space="preserve"> </v>
      </c>
    </row>
    <row r="38" spans="1:14" x14ac:dyDescent="0.25">
      <c r="A38" s="22" t="str">
        <f>'SC_Loop 1'!A38</f>
        <v>MAD-429-I</v>
      </c>
      <c r="B38" s="23"/>
      <c r="C38" s="24">
        <f>'SC_Loop 1'!C38</f>
        <v>2.9999999999999997E-4</v>
      </c>
      <c r="D38" s="68">
        <f t="shared" si="3"/>
        <v>0</v>
      </c>
      <c r="E38" s="233">
        <f>B38*'System Calculation'!$I$14</f>
        <v>0</v>
      </c>
      <c r="F38" s="24">
        <f>'SC_Loop 1'!F38</f>
        <v>3.0000000000000001E-3</v>
      </c>
      <c r="G38" s="68">
        <f t="shared" si="4"/>
        <v>0</v>
      </c>
      <c r="H38" s="60"/>
      <c r="I38" s="60"/>
      <c r="J38" s="60">
        <f t="shared" si="6"/>
        <v>0</v>
      </c>
      <c r="K38" s="60"/>
      <c r="L38" s="123" t="str">
        <f>IF(J38&lt;&gt;0,20*J38," ")</f>
        <v xml:space="preserve"> </v>
      </c>
      <c r="N38" s="41" t="str">
        <f t="shared" si="7"/>
        <v xml:space="preserve"> </v>
      </c>
    </row>
    <row r="39" spans="1:14" x14ac:dyDescent="0.25">
      <c r="A39" s="22" t="str">
        <f>'SC_Loop 1'!A39</f>
        <v>MAD-431 &amp; MAD-431-I</v>
      </c>
      <c r="B39" s="23"/>
      <c r="C39" s="24">
        <f>'SC_Loop 1'!C39</f>
        <v>2.9999999999999997E-4</v>
      </c>
      <c r="D39" s="68">
        <f t="shared" si="3"/>
        <v>0</v>
      </c>
      <c r="E39" s="233">
        <f>B39*'System Calculation'!$I$14</f>
        <v>0</v>
      </c>
      <c r="F39" s="24">
        <f>'SC_Loop 1'!F39</f>
        <v>3.0000000000000001E-3</v>
      </c>
      <c r="G39" s="68">
        <f t="shared" si="4"/>
        <v>0</v>
      </c>
      <c r="H39" s="60"/>
      <c r="I39" s="60"/>
      <c r="J39" s="60" t="str">
        <f>IF(B39&lt;&gt;0,B39," ")</f>
        <v xml:space="preserve"> </v>
      </c>
      <c r="K39" s="60"/>
      <c r="L39" s="123" t="str">
        <f>IF(J39&lt;&gt;0,J39," ")</f>
        <v xml:space="preserve"> </v>
      </c>
      <c r="N39" s="41" t="str">
        <f t="shared" si="7"/>
        <v xml:space="preserve"> </v>
      </c>
    </row>
    <row r="40" spans="1:14" x14ac:dyDescent="0.25">
      <c r="A40" s="22" t="str">
        <f>'SC_Loop 1'!A40</f>
        <v>MAD-432 &amp; MAD-432-I</v>
      </c>
      <c r="B40" s="23"/>
      <c r="C40" s="24">
        <f>'SC_Loop 1'!C40</f>
        <v>2.9999999999999997E-4</v>
      </c>
      <c r="D40" s="68">
        <f t="shared" si="3"/>
        <v>0</v>
      </c>
      <c r="E40" s="233">
        <f>B40*'System Calculation'!$I$14</f>
        <v>0</v>
      </c>
      <c r="F40" s="24">
        <f>'SC_Loop 1'!F40</f>
        <v>3.0000000000000001E-3</v>
      </c>
      <c r="G40" s="68">
        <f t="shared" si="4"/>
        <v>0</v>
      </c>
      <c r="H40" s="60"/>
      <c r="I40" s="60"/>
      <c r="J40" s="60">
        <f>IF(B40&lt;&gt;0,B40,0)</f>
        <v>0</v>
      </c>
      <c r="K40" s="60"/>
      <c r="L40" s="123" t="str">
        <f>IF(J40&lt;&gt;0,2*J40," ")</f>
        <v xml:space="preserve"> </v>
      </c>
      <c r="N40" s="41" t="str">
        <f t="shared" si="7"/>
        <v xml:space="preserve"> </v>
      </c>
    </row>
    <row r="41" spans="1:14" x14ac:dyDescent="0.25">
      <c r="A41" s="22" t="str">
        <f>'SC_Loop 1'!A41</f>
        <v>MAD-441 &amp; MAD-441-I</v>
      </c>
      <c r="B41" s="23"/>
      <c r="C41" s="24">
        <f>'SC_Loop 1'!C41</f>
        <v>2.9999999999999997E-4</v>
      </c>
      <c r="D41" s="68">
        <f t="shared" si="3"/>
        <v>0</v>
      </c>
      <c r="E41" s="233">
        <f>B41*'System Calculation'!$I$14</f>
        <v>0</v>
      </c>
      <c r="F41" s="24">
        <f>'SC_Loop 1'!F41</f>
        <v>3.0000000000000001E-3</v>
      </c>
      <c r="G41" s="68">
        <f t="shared" si="4"/>
        <v>0</v>
      </c>
      <c r="H41" s="60"/>
      <c r="I41" s="60"/>
      <c r="J41" s="60" t="str">
        <f>IF(B41&lt;&gt;0,B41," ")</f>
        <v xml:space="preserve"> </v>
      </c>
      <c r="K41" s="60"/>
      <c r="L41" s="123" t="str">
        <f>IF(J41&lt;&gt;0,J41," ")</f>
        <v xml:space="preserve"> </v>
      </c>
      <c r="N41" s="41" t="str">
        <f t="shared" si="7"/>
        <v xml:space="preserve"> </v>
      </c>
    </row>
    <row r="42" spans="1:14" x14ac:dyDescent="0.25">
      <c r="A42" s="22" t="str">
        <f>'SC_Loop 1'!A42</f>
        <v>MAD-442 &amp; MAD-442-I</v>
      </c>
      <c r="B42" s="23"/>
      <c r="C42" s="24">
        <f>'SC_Loop 1'!C42</f>
        <v>2.9999999999999997E-4</v>
      </c>
      <c r="D42" s="68">
        <f t="shared" si="3"/>
        <v>0</v>
      </c>
      <c r="E42" s="233">
        <f>B42*'System Calculation'!$I$14</f>
        <v>0</v>
      </c>
      <c r="F42" s="24">
        <f>'SC_Loop 1'!F42</f>
        <v>3.0000000000000001E-3</v>
      </c>
      <c r="G42" s="68">
        <f t="shared" si="4"/>
        <v>0</v>
      </c>
      <c r="H42" s="60"/>
      <c r="I42" s="60"/>
      <c r="J42" s="60">
        <f>IF(B42&lt;&gt;0,B42,0)</f>
        <v>0</v>
      </c>
      <c r="K42" s="60"/>
      <c r="L42" s="123" t="str">
        <f>IF(J42&lt;&gt;0,2*J42," ")</f>
        <v xml:space="preserve"> </v>
      </c>
      <c r="N42" s="41" t="str">
        <f t="shared" si="7"/>
        <v xml:space="preserve"> </v>
      </c>
    </row>
    <row r="43" spans="1:14" x14ac:dyDescent="0.25">
      <c r="A43" s="22" t="str">
        <f>'SC_Loop 1'!A43</f>
        <v>MAD-450 &amp; MAD-450-I</v>
      </c>
      <c r="B43" s="23"/>
      <c r="C43" s="24">
        <f>'SC_Loop 1'!C43</f>
        <v>2.9999999999999997E-4</v>
      </c>
      <c r="D43" s="68">
        <f t="shared" si="3"/>
        <v>0</v>
      </c>
      <c r="E43" s="233">
        <f>B43*'System Calculation'!$I$12</f>
        <v>0</v>
      </c>
      <c r="F43" s="24">
        <f>'SC_Loop 1'!F43</f>
        <v>3.0000000000000001E-3</v>
      </c>
      <c r="G43" s="68">
        <f t="shared" si="4"/>
        <v>0</v>
      </c>
      <c r="H43" s="60"/>
      <c r="I43" s="59"/>
      <c r="J43" s="60"/>
      <c r="K43" s="60"/>
      <c r="L43" s="123" t="str">
        <f>IF(B43&lt;&gt;0,B43," ")</f>
        <v xml:space="preserve"> </v>
      </c>
      <c r="N43" s="11"/>
    </row>
    <row r="44" spans="1:14" x14ac:dyDescent="0.25">
      <c r="A44" s="22" t="str">
        <f>'SC_Loop 1'!A44</f>
        <v>MAD-451-I</v>
      </c>
      <c r="B44" s="23"/>
      <c r="C44" s="24">
        <f>'SC_Loop 1'!C44</f>
        <v>2.9999999999999997E-4</v>
      </c>
      <c r="D44" s="68">
        <f t="shared" si="3"/>
        <v>0</v>
      </c>
      <c r="E44" s="233">
        <f>B44*'System Calculation'!$I$12</f>
        <v>0</v>
      </c>
      <c r="F44" s="24">
        <f>'SC_Loop 1'!F44</f>
        <v>3.0000000000000001E-3</v>
      </c>
      <c r="G44" s="68">
        <f t="shared" si="4"/>
        <v>0</v>
      </c>
      <c r="H44" s="60"/>
      <c r="I44" s="60"/>
      <c r="J44" s="60"/>
      <c r="K44" s="60"/>
      <c r="L44" s="123" t="str">
        <f>IF(B44&lt;&gt;0,B44," ")</f>
        <v xml:space="preserve"> </v>
      </c>
    </row>
    <row r="45" spans="1:14" x14ac:dyDescent="0.25">
      <c r="A45" s="22" t="str">
        <f>'SC_Loop 1'!A45</f>
        <v>MAD-461-I</v>
      </c>
      <c r="B45" s="23"/>
      <c r="C45" s="24">
        <f>'SC_Loop 1'!C45</f>
        <v>2.9999999999999997E-4</v>
      </c>
      <c r="D45" s="68">
        <f t="shared" si="3"/>
        <v>0</v>
      </c>
      <c r="E45" s="233">
        <f>B45*'System Calculation'!$I$13</f>
        <v>0</v>
      </c>
      <c r="F45" s="24">
        <f>'SC_Loop 1'!F45</f>
        <v>8.9999999999999993E-3</v>
      </c>
      <c r="G45" s="68">
        <f>E45*F45</f>
        <v>0</v>
      </c>
      <c r="H45" s="60" t="str">
        <f>IF(B45*G45=0," ",G45)</f>
        <v xml:space="preserve"> </v>
      </c>
      <c r="I45" s="60"/>
      <c r="J45" s="60"/>
      <c r="K45" s="60" t="str">
        <f t="shared" ref="K45:K53" si="8">IF(B45&lt;&gt;0,B45," ")</f>
        <v xml:space="preserve"> </v>
      </c>
      <c r="L45" s="123" t="str">
        <f>IF(K45&lt;&gt;0,K45," ")</f>
        <v xml:space="preserve"> </v>
      </c>
    </row>
    <row r="46" spans="1:14" x14ac:dyDescent="0.25">
      <c r="A46" s="22" t="str">
        <f>'SC_Loop 1'!A46</f>
        <v>MAD-464-I Low vol. (78 dB)</v>
      </c>
      <c r="B46" s="23"/>
      <c r="C46" s="24">
        <f>'SC_Loop 1'!C46</f>
        <v>2.9999999999999997E-4</v>
      </c>
      <c r="D46" s="68">
        <f t="shared" si="3"/>
        <v>0</v>
      </c>
      <c r="E46" s="233">
        <f>B46*'System Calculation'!$I$13</f>
        <v>0</v>
      </c>
      <c r="F46" s="24">
        <f>'SC_Loop 1'!F46</f>
        <v>6.4999999999999997E-3</v>
      </c>
      <c r="G46" s="68">
        <f t="shared" ref="G46:G51" si="9">E46*F46</f>
        <v>0</v>
      </c>
      <c r="H46" s="60" t="str">
        <f t="shared" ref="H46:H53" si="10">IF(B46*G46=0," ",G46)</f>
        <v xml:space="preserve"> </v>
      </c>
      <c r="I46" s="60"/>
      <c r="J46" s="60"/>
      <c r="K46" s="60" t="str">
        <f t="shared" si="8"/>
        <v xml:space="preserve"> </v>
      </c>
      <c r="L46" s="123" t="str">
        <f t="shared" ref="L46:L53" si="11">IF(K46&lt;&gt;0,K46," ")</f>
        <v xml:space="preserve"> </v>
      </c>
    </row>
    <row r="47" spans="1:14" x14ac:dyDescent="0.25">
      <c r="A47" s="22" t="str">
        <f>'SC_Loop 1'!A47</f>
        <v>MAD-464-I Medium vol. (93 dB)</v>
      </c>
      <c r="B47" s="23"/>
      <c r="C47" s="24">
        <f>'SC_Loop 1'!C47</f>
        <v>2.9999999999999997E-4</v>
      </c>
      <c r="D47" s="68">
        <f t="shared" si="3"/>
        <v>0</v>
      </c>
      <c r="E47" s="233">
        <f>B47*'System Calculation'!$I$13</f>
        <v>0</v>
      </c>
      <c r="F47" s="24">
        <f>'SC_Loop 1'!F47</f>
        <v>9.7000000000000003E-3</v>
      </c>
      <c r="G47" s="68">
        <f t="shared" si="9"/>
        <v>0</v>
      </c>
      <c r="H47" s="60" t="str">
        <f t="shared" si="10"/>
        <v xml:space="preserve"> </v>
      </c>
      <c r="I47" s="60"/>
      <c r="J47" s="60"/>
      <c r="K47" s="60" t="str">
        <f t="shared" si="8"/>
        <v xml:space="preserve"> </v>
      </c>
      <c r="L47" s="123" t="str">
        <f t="shared" si="11"/>
        <v xml:space="preserve"> </v>
      </c>
    </row>
    <row r="48" spans="1:14" x14ac:dyDescent="0.25">
      <c r="A48" s="22" t="str">
        <f>'SC_Loop 1'!A48</f>
        <v>MAD-464-I High vol. (97 dB)</v>
      </c>
      <c r="B48" s="23"/>
      <c r="C48" s="24">
        <f>'SC_Loop 1'!C48</f>
        <v>2.9999999999999997E-4</v>
      </c>
      <c r="D48" s="68">
        <f t="shared" si="3"/>
        <v>0</v>
      </c>
      <c r="E48" s="233">
        <f>B48*'System Calculation'!$I$13</f>
        <v>0</v>
      </c>
      <c r="F48" s="24">
        <f>'SC_Loop 1'!F48</f>
        <v>1.2999999999999999E-2</v>
      </c>
      <c r="G48" s="68">
        <f t="shared" si="9"/>
        <v>0</v>
      </c>
      <c r="H48" s="60" t="str">
        <f t="shared" si="10"/>
        <v xml:space="preserve"> </v>
      </c>
      <c r="I48" s="60"/>
      <c r="J48" s="60"/>
      <c r="K48" s="60" t="str">
        <f t="shared" si="8"/>
        <v xml:space="preserve"> </v>
      </c>
      <c r="L48" s="123" t="str">
        <f t="shared" si="11"/>
        <v xml:space="preserve"> </v>
      </c>
    </row>
    <row r="49" spans="1:14" x14ac:dyDescent="0.25">
      <c r="A49" s="22" t="str">
        <f>'SC_Loop 1'!A49</f>
        <v>MAD-465-I Low vol. (78 dB)</v>
      </c>
      <c r="B49" s="23"/>
      <c r="C49" s="24">
        <f>'SC_Loop 1'!C49</f>
        <v>2.9999999999999997E-4</v>
      </c>
      <c r="D49" s="68">
        <f t="shared" si="3"/>
        <v>0</v>
      </c>
      <c r="E49" s="233">
        <f>B49*'System Calculation'!$I$13</f>
        <v>0</v>
      </c>
      <c r="F49" s="24">
        <f>'SC_Loop 1'!F49</f>
        <v>6.4999999999999997E-3</v>
      </c>
      <c r="G49" s="68">
        <f t="shared" si="9"/>
        <v>0</v>
      </c>
      <c r="H49" s="60" t="str">
        <f t="shared" si="10"/>
        <v xml:space="preserve"> </v>
      </c>
      <c r="I49" s="60"/>
      <c r="J49" s="60"/>
      <c r="K49" s="60" t="str">
        <f t="shared" si="8"/>
        <v xml:space="preserve"> </v>
      </c>
      <c r="L49" s="123" t="str">
        <f t="shared" si="11"/>
        <v xml:space="preserve"> </v>
      </c>
    </row>
    <row r="50" spans="1:14" x14ac:dyDescent="0.25">
      <c r="A50" s="22" t="str">
        <f>'SC_Loop 1'!A50</f>
        <v>MAD-465-I Medium vol. (93 dB)</v>
      </c>
      <c r="B50" s="23"/>
      <c r="C50" s="24">
        <f>'SC_Loop 1'!C50</f>
        <v>2.9999999999999997E-4</v>
      </c>
      <c r="D50" s="68">
        <f t="shared" si="3"/>
        <v>0</v>
      </c>
      <c r="E50" s="233">
        <f>B50*'System Calculation'!$I$13</f>
        <v>0</v>
      </c>
      <c r="F50" s="24">
        <f>'SC_Loop 1'!F50</f>
        <v>9.7000000000000003E-3</v>
      </c>
      <c r="G50" s="68">
        <f t="shared" si="9"/>
        <v>0</v>
      </c>
      <c r="H50" s="60" t="str">
        <f t="shared" si="10"/>
        <v xml:space="preserve"> </v>
      </c>
      <c r="I50" s="60"/>
      <c r="J50" s="60"/>
      <c r="K50" s="60" t="str">
        <f t="shared" si="8"/>
        <v xml:space="preserve"> </v>
      </c>
      <c r="L50" s="123" t="str">
        <f t="shared" si="11"/>
        <v xml:space="preserve"> </v>
      </c>
    </row>
    <row r="51" spans="1:14" x14ac:dyDescent="0.25">
      <c r="A51" s="22" t="str">
        <f>'SC_Loop 1'!A51</f>
        <v>MAD-465-I High vol. (97 dB)</v>
      </c>
      <c r="B51" s="23"/>
      <c r="C51" s="24">
        <f>'SC_Loop 1'!C51</f>
        <v>2.9999999999999997E-4</v>
      </c>
      <c r="D51" s="68">
        <f t="shared" si="3"/>
        <v>0</v>
      </c>
      <c r="E51" s="233">
        <f>B51*'System Calculation'!$I$13</f>
        <v>0</v>
      </c>
      <c r="F51" s="24">
        <f>'SC_Loop 1'!F51</f>
        <v>1.2999999999999999E-2</v>
      </c>
      <c r="G51" s="68">
        <f t="shared" si="9"/>
        <v>0</v>
      </c>
      <c r="H51" s="60" t="str">
        <f t="shared" si="10"/>
        <v xml:space="preserve"> </v>
      </c>
      <c r="I51" s="60"/>
      <c r="J51" s="60"/>
      <c r="K51" s="60" t="str">
        <f t="shared" si="8"/>
        <v xml:space="preserve"> </v>
      </c>
      <c r="L51" s="123" t="str">
        <f t="shared" si="11"/>
        <v xml:space="preserve"> </v>
      </c>
    </row>
    <row r="52" spans="1:14" x14ac:dyDescent="0.25">
      <c r="A52" s="22" t="str">
        <f>'SC_Loop 1'!A52</f>
        <v>MAD-472</v>
      </c>
      <c r="B52" s="23"/>
      <c r="C52" s="24">
        <f>'SC_Loop 1'!C52</f>
        <v>3.5E-4</v>
      </c>
      <c r="D52" s="68">
        <f>B52*C52</f>
        <v>0</v>
      </c>
      <c r="E52" s="233">
        <f>B52*'System Calculation'!$I$13</f>
        <v>0</v>
      </c>
      <c r="F52" s="24">
        <f>'SC_Loop 1'!F52</f>
        <v>1.4E-2</v>
      </c>
      <c r="G52" s="68">
        <f t="shared" si="4"/>
        <v>0</v>
      </c>
      <c r="H52" s="60" t="str">
        <f t="shared" si="10"/>
        <v xml:space="preserve"> </v>
      </c>
      <c r="I52" s="60"/>
      <c r="J52" s="60"/>
      <c r="K52" s="60" t="str">
        <f t="shared" si="8"/>
        <v xml:space="preserve"> </v>
      </c>
      <c r="L52" s="123" t="str">
        <f t="shared" si="11"/>
        <v xml:space="preserve"> </v>
      </c>
    </row>
    <row r="53" spans="1:14" x14ac:dyDescent="0.25">
      <c r="A53" s="22" t="str">
        <f>'SC_Loop 1'!A53</f>
        <v>MAD-473</v>
      </c>
      <c r="B53" s="23"/>
      <c r="C53" s="24">
        <f>'SC_Loop 1'!C53</f>
        <v>3.5E-4</v>
      </c>
      <c r="D53" s="68">
        <f t="shared" si="3"/>
        <v>0</v>
      </c>
      <c r="E53" s="233">
        <f>B53*'System Calculation'!$I$13</f>
        <v>0</v>
      </c>
      <c r="F53" s="24">
        <f>'SC_Loop 1'!F53</f>
        <v>1.4999999999999999E-2</v>
      </c>
      <c r="G53" s="68">
        <f t="shared" si="4"/>
        <v>0</v>
      </c>
      <c r="H53" s="60" t="str">
        <f t="shared" si="10"/>
        <v xml:space="preserve"> </v>
      </c>
      <c r="I53" s="60"/>
      <c r="J53" s="60"/>
      <c r="K53" s="60" t="str">
        <f t="shared" si="8"/>
        <v xml:space="preserve"> </v>
      </c>
      <c r="L53" s="123" t="str">
        <f t="shared" si="11"/>
        <v xml:space="preserve"> </v>
      </c>
    </row>
    <row r="54" spans="1:14" x14ac:dyDescent="0.25">
      <c r="A54" s="22" t="str">
        <f>'SC_Loop 1'!A54</f>
        <v>MAD-481</v>
      </c>
      <c r="B54" s="23"/>
      <c r="C54" s="24">
        <f>'SC_Loop 1'!C54</f>
        <v>2.9999999999999997E-4</v>
      </c>
      <c r="D54" s="68">
        <f t="shared" si="3"/>
        <v>0</v>
      </c>
      <c r="E54" s="233">
        <f>B54*'System Calculation'!$I$14</f>
        <v>0</v>
      </c>
      <c r="F54" s="24">
        <f>'SC_Loop 1'!F54</f>
        <v>3.0000000000000001E-3</v>
      </c>
      <c r="G54" s="68">
        <f t="shared" si="4"/>
        <v>0</v>
      </c>
      <c r="H54" s="60"/>
      <c r="I54" s="60"/>
      <c r="J54" s="60" t="str">
        <f>IF(B54&lt;&gt;0,B54," ")</f>
        <v xml:space="preserve"> </v>
      </c>
      <c r="K54" s="60"/>
      <c r="L54" s="123" t="str">
        <f>IF(J54&lt;&gt;0,J54," ")</f>
        <v xml:space="preserve"> </v>
      </c>
      <c r="N54" s="41"/>
    </row>
    <row r="55" spans="1:14" x14ac:dyDescent="0.25">
      <c r="A55" s="22" t="str">
        <f>'SC_Loop 1'!A55</f>
        <v>MAD-490</v>
      </c>
      <c r="B55" s="23"/>
      <c r="C55" s="24">
        <f>'SC_Loop 1'!C55</f>
        <v>2.9999999999999997E-4</v>
      </c>
      <c r="D55" s="68">
        <f t="shared" si="3"/>
        <v>0</v>
      </c>
      <c r="E55" s="233"/>
      <c r="F55" s="24">
        <f>'SC_Loop 1'!F55</f>
        <v>0.05</v>
      </c>
      <c r="G55" s="68">
        <f t="shared" si="4"/>
        <v>0</v>
      </c>
      <c r="H55" s="60"/>
      <c r="I55" s="60"/>
      <c r="J55" s="60"/>
      <c r="K55" s="60"/>
      <c r="L55" s="123"/>
    </row>
    <row r="56" spans="1:14" x14ac:dyDescent="0.25">
      <c r="A56" s="22" t="str">
        <f>'SC_Loop 1'!A56</f>
        <v>PAD-10</v>
      </c>
      <c r="B56" s="23"/>
      <c r="C56" s="24">
        <f>'SC_Loop 1'!C56</f>
        <v>6.2500000000000001E-4</v>
      </c>
      <c r="D56" s="68">
        <f t="shared" si="3"/>
        <v>0</v>
      </c>
      <c r="E56" s="233">
        <f>IF(B56&gt;10,10,B56)</f>
        <v>0</v>
      </c>
      <c r="F56" s="24">
        <f>'SC_Loop 1'!F56</f>
        <v>5.0000000000000001E-3</v>
      </c>
      <c r="G56" s="68">
        <f t="shared" si="4"/>
        <v>0</v>
      </c>
      <c r="H56" s="60"/>
      <c r="I56" s="60"/>
      <c r="J56" s="60"/>
      <c r="K56" s="60"/>
      <c r="L56" s="123"/>
    </row>
    <row r="57" spans="1:14" x14ac:dyDescent="0.25">
      <c r="A57" s="22" t="str">
        <f>'SC_Loop 1'!A57</f>
        <v>PAD-10A-I</v>
      </c>
      <c r="B57" s="23"/>
      <c r="C57" s="24">
        <f>'SC_Loop 1'!C57</f>
        <v>1.85E-4</v>
      </c>
      <c r="D57" s="68">
        <f t="shared" si="3"/>
        <v>0</v>
      </c>
      <c r="E57" s="233">
        <f>IF(B57&gt;10,10,B57)</f>
        <v>0</v>
      </c>
      <c r="F57" s="24">
        <f>'SC_Loop 1'!F57</f>
        <v>4.0000000000000001E-3</v>
      </c>
      <c r="G57" s="68">
        <f t="shared" si="4"/>
        <v>0</v>
      </c>
      <c r="H57" s="60"/>
      <c r="I57" s="60"/>
      <c r="J57" s="60"/>
      <c r="K57" s="60"/>
      <c r="L57" s="123"/>
    </row>
    <row r="58" spans="1:14" x14ac:dyDescent="0.25">
      <c r="A58" s="22" t="str">
        <f>'SC_Loop 1'!A58</f>
        <v>TPLD-100 (CCD-102) = 3 loop address</v>
      </c>
      <c r="B58" s="23"/>
      <c r="C58" s="24">
        <f>'SC_Loop 1'!C58</f>
        <v>2.9999999999999997E-4</v>
      </c>
      <c r="D58" s="68">
        <f t="shared" si="3"/>
        <v>0</v>
      </c>
      <c r="E58" s="233"/>
      <c r="F58" s="24">
        <f>'SC_Loop 1'!F58</f>
        <v>3.0000000000000001E-3</v>
      </c>
      <c r="G58" s="68">
        <f t="shared" si="4"/>
        <v>0</v>
      </c>
      <c r="H58" s="60"/>
      <c r="I58" s="60"/>
      <c r="J58" s="60"/>
      <c r="K58" s="60"/>
      <c r="L58" s="123" t="str">
        <f>IF(B58&lt;&gt;0,3*B58," ")</f>
        <v xml:space="preserve"> </v>
      </c>
    </row>
    <row r="59" spans="1:14" x14ac:dyDescent="0.25">
      <c r="A59" s="22" t="str">
        <f>'SC_Loop 1'!A59</f>
        <v>TPLD-100 (CCD-104) = 5 loop address</v>
      </c>
      <c r="B59" s="23"/>
      <c r="C59" s="24">
        <f>'SC_Loop 1'!C59</f>
        <v>2.9999999999999997E-4</v>
      </c>
      <c r="D59" s="68">
        <f t="shared" si="3"/>
        <v>0</v>
      </c>
      <c r="E59" s="233"/>
      <c r="F59" s="24">
        <f>'SC_Loop 1'!F59</f>
        <v>3.0000000000000001E-3</v>
      </c>
      <c r="G59" s="68">
        <f t="shared" si="4"/>
        <v>0</v>
      </c>
      <c r="H59" s="60"/>
      <c r="I59" s="60"/>
      <c r="J59" s="60"/>
      <c r="K59" s="60"/>
      <c r="L59" s="123" t="str">
        <f>IF(B59&lt;&gt;0,5*B59," ")</f>
        <v xml:space="preserve"> </v>
      </c>
    </row>
    <row r="60" spans="1:14" x14ac:dyDescent="0.25">
      <c r="A60" s="22" t="str">
        <f>'SC_Loop 1'!A60</f>
        <v>TPLD-100 (CCD-108) = 9 loop address</v>
      </c>
      <c r="B60" s="23"/>
      <c r="C60" s="24">
        <f>'SC_Loop 1'!C60</f>
        <v>2.9999999999999997E-4</v>
      </c>
      <c r="D60" s="68">
        <f t="shared" si="3"/>
        <v>0</v>
      </c>
      <c r="E60" s="233"/>
      <c r="F60" s="24">
        <f>'SC_Loop 1'!F60</f>
        <v>3.0000000000000001E-3</v>
      </c>
      <c r="G60" s="68">
        <f t="shared" si="4"/>
        <v>0</v>
      </c>
      <c r="H60" s="60"/>
      <c r="I60" s="60"/>
      <c r="J60" s="60"/>
      <c r="K60" s="60"/>
      <c r="L60" s="123" t="str">
        <f>IF(B60&lt;&gt;0,9*B60," ")</f>
        <v xml:space="preserve"> </v>
      </c>
    </row>
    <row r="61" spans="1:14" x14ac:dyDescent="0.25">
      <c r="A61" s="22" t="str">
        <f>'SC_Loop 1'!A61</f>
        <v>TPLD-100 (CCD-112) = 13 loop address</v>
      </c>
      <c r="B61" s="23"/>
      <c r="C61" s="24">
        <f>'SC_Loop 1'!C61</f>
        <v>2.9999999999999997E-4</v>
      </c>
      <c r="D61" s="68">
        <f t="shared" si="3"/>
        <v>0</v>
      </c>
      <c r="E61" s="233"/>
      <c r="F61" s="24">
        <f>'SC_Loop 1'!F61</f>
        <v>3.0000000000000001E-3</v>
      </c>
      <c r="G61" s="68">
        <f t="shared" si="4"/>
        <v>0</v>
      </c>
      <c r="H61" s="60"/>
      <c r="I61" s="60"/>
      <c r="J61" s="60"/>
      <c r="K61" s="60"/>
      <c r="L61" s="123" t="str">
        <f>IF(B61&lt;&gt;0,13*B61," ")</f>
        <v xml:space="preserve"> </v>
      </c>
    </row>
    <row r="62" spans="1:14" ht="13.8" thickBot="1" x14ac:dyDescent="0.3">
      <c r="A62" s="126" t="str">
        <f>'SC_Loop 1'!A62</f>
        <v>TPLD-100 (CCD-103) = 7 loop address</v>
      </c>
      <c r="B62" s="127"/>
      <c r="C62" s="199">
        <f>'SC_Loop 1'!C62</f>
        <v>2.9999999999999997E-4</v>
      </c>
      <c r="D62" s="128">
        <f t="shared" si="3"/>
        <v>0</v>
      </c>
      <c r="E62" s="235"/>
      <c r="F62" s="199">
        <f>'SC_Loop 1'!F62</f>
        <v>3.0000000000000001E-3</v>
      </c>
      <c r="G62" s="128">
        <f t="shared" si="4"/>
        <v>0</v>
      </c>
      <c r="H62" s="50"/>
      <c r="I62" s="50"/>
      <c r="J62" s="50"/>
      <c r="K62" s="141"/>
      <c r="L62" s="129" t="str">
        <f>IF(B62&lt;&gt;0,7*B62," ")</f>
        <v xml:space="preserve"> </v>
      </c>
    </row>
    <row r="63" spans="1:14" s="7" customFormat="1" ht="13.8" thickBot="1" x14ac:dyDescent="0.3">
      <c r="A63" s="19" t="s">
        <v>8</v>
      </c>
      <c r="B63" s="73">
        <f>SUM(B15:B55)+SUM(L58:L62)</f>
        <v>0</v>
      </c>
      <c r="C63" s="20"/>
      <c r="D63" s="70">
        <f>SUM(D15:D62)</f>
        <v>0</v>
      </c>
      <c r="E63" s="72">
        <f>SUM(E15:E55)</f>
        <v>0</v>
      </c>
      <c r="F63" s="70"/>
      <c r="G63" s="70">
        <f>SUM(G15:G62)</f>
        <v>0</v>
      </c>
      <c r="H63" s="70">
        <f t="shared" ref="H63:L63" si="12">SUM(H15:H62)</f>
        <v>0</v>
      </c>
      <c r="I63" s="73">
        <f t="shared" si="12"/>
        <v>0</v>
      </c>
      <c r="J63" s="73">
        <f t="shared" si="12"/>
        <v>0</v>
      </c>
      <c r="K63" s="73">
        <f t="shared" si="12"/>
        <v>0</v>
      </c>
      <c r="L63" s="142">
        <f t="shared" si="12"/>
        <v>0</v>
      </c>
    </row>
    <row r="64" spans="1:14" s="7" customFormat="1" x14ac:dyDescent="0.25">
      <c r="A64" s="29"/>
      <c r="B64" s="119"/>
      <c r="C64" s="120"/>
      <c r="D64" s="121"/>
      <c r="E64" s="122"/>
      <c r="F64" s="121"/>
      <c r="G64" s="121"/>
      <c r="H64" s="121"/>
      <c r="I64" s="121"/>
      <c r="J64" s="121"/>
      <c r="K64" s="119"/>
      <c r="L64" s="119"/>
    </row>
    <row r="65" spans="1:12" ht="14.4" customHeight="1" thickBot="1" x14ac:dyDescent="0.3">
      <c r="E65" s="32"/>
      <c r="K65" s="150" t="str">
        <f>IF($L$63&gt;250,"Error: The Loop cannot contain more than 250 addresses","")</f>
        <v/>
      </c>
    </row>
    <row r="66" spans="1:12" ht="14.4" customHeight="1" thickBot="1" x14ac:dyDescent="0.3">
      <c r="A66" s="19" t="s">
        <v>137</v>
      </c>
      <c r="B66" s="130"/>
      <c r="C66" s="130"/>
      <c r="D66" s="131"/>
      <c r="E66" s="32"/>
    </row>
    <row r="67" spans="1:12" ht="14.4" customHeight="1" x14ac:dyDescent="0.25">
      <c r="A67" s="111" t="s">
        <v>138</v>
      </c>
      <c r="B67" s="139">
        <v>1.72E-2</v>
      </c>
      <c r="C67" s="52"/>
      <c r="D67" s="134" t="s">
        <v>139</v>
      </c>
      <c r="E67" s="32"/>
    </row>
    <row r="68" spans="1:12" ht="14.4" customHeight="1" x14ac:dyDescent="0.25">
      <c r="A68" s="39" t="s">
        <v>140</v>
      </c>
      <c r="B68" s="137">
        <f>D63</f>
        <v>0</v>
      </c>
      <c r="C68" s="60"/>
      <c r="D68" s="109" t="s">
        <v>9</v>
      </c>
      <c r="E68" s="32"/>
    </row>
    <row r="69" spans="1:12" ht="14.4" customHeight="1" x14ac:dyDescent="0.25">
      <c r="A69" s="39" t="s">
        <v>141</v>
      </c>
      <c r="B69" s="137">
        <f>G63-H63</f>
        <v>0</v>
      </c>
      <c r="C69" s="60"/>
      <c r="D69" s="109" t="s">
        <v>9</v>
      </c>
      <c r="E69" s="32"/>
    </row>
    <row r="70" spans="1:12" ht="14.4" customHeight="1" x14ac:dyDescent="0.25">
      <c r="A70" s="39" t="s">
        <v>142</v>
      </c>
      <c r="B70" s="137">
        <f>H63</f>
        <v>0</v>
      </c>
      <c r="C70" s="60"/>
      <c r="D70" s="109" t="s">
        <v>9</v>
      </c>
      <c r="E70" s="32"/>
    </row>
    <row r="71" spans="1:12" ht="14.4" customHeight="1" x14ac:dyDescent="0.25">
      <c r="A71" s="39" t="s">
        <v>143</v>
      </c>
      <c r="B71" s="137">
        <f>SUM(B68:B70)</f>
        <v>0</v>
      </c>
      <c r="C71" s="60"/>
      <c r="D71" s="109" t="s">
        <v>9</v>
      </c>
      <c r="E71" s="32"/>
    </row>
    <row r="72" spans="1:12" ht="14.4" customHeight="1" thickBot="1" x14ac:dyDescent="0.3">
      <c r="A72" s="140" t="s">
        <v>144</v>
      </c>
      <c r="B72" s="124">
        <v>6.9</v>
      </c>
      <c r="C72" s="124"/>
      <c r="D72" s="34" t="s">
        <v>145</v>
      </c>
      <c r="E72" s="32"/>
    </row>
    <row r="73" spans="1:12" ht="14.4" customHeight="1" thickBot="1" x14ac:dyDescent="0.3">
      <c r="A73" s="17"/>
      <c r="E73" s="32"/>
    </row>
    <row r="74" spans="1:12" ht="14.4" customHeight="1" thickBot="1" x14ac:dyDescent="0.3">
      <c r="A74" s="8" t="s">
        <v>155</v>
      </c>
      <c r="B74" s="147"/>
      <c r="C74" s="147"/>
      <c r="D74" s="147"/>
      <c r="E74" s="162"/>
      <c r="F74" s="147"/>
      <c r="G74" s="147"/>
      <c r="H74" s="147"/>
      <c r="I74" s="147"/>
      <c r="J74" s="147"/>
      <c r="K74" s="148"/>
      <c r="L74" s="151" t="s">
        <v>151</v>
      </c>
    </row>
    <row r="75" spans="1:12" ht="14.4" customHeight="1" x14ac:dyDescent="0.25">
      <c r="A75" s="169" t="s">
        <v>156</v>
      </c>
      <c r="B75" s="52">
        <v>1000</v>
      </c>
      <c r="C75" s="52"/>
      <c r="D75" s="52">
        <v>1500</v>
      </c>
      <c r="E75" s="161"/>
      <c r="F75" s="52"/>
      <c r="G75" s="52">
        <v>2000</v>
      </c>
      <c r="H75" s="52">
        <v>2500</v>
      </c>
      <c r="I75" s="52">
        <v>3000</v>
      </c>
      <c r="J75" s="165">
        <v>3500</v>
      </c>
      <c r="K75" s="152" t="s">
        <v>152</v>
      </c>
    </row>
    <row r="76" spans="1:12" ht="14.4" customHeight="1" x14ac:dyDescent="0.25">
      <c r="A76" s="138" t="s">
        <v>157</v>
      </c>
      <c r="B76" s="154" t="e">
        <f>((($B$67*B75)/B78)*2)</f>
        <v>#DIV/0!</v>
      </c>
      <c r="C76" s="154" t="e">
        <f t="shared" ref="C76:J76" si="13">((($B$67*C75)/C78)*2)</f>
        <v>#DIV/0!</v>
      </c>
      <c r="D76" s="154" t="e">
        <f t="shared" si="13"/>
        <v>#DIV/0!</v>
      </c>
      <c r="E76" s="154" t="e">
        <f t="shared" si="13"/>
        <v>#DIV/0!</v>
      </c>
      <c r="F76" s="154" t="e">
        <f t="shared" si="13"/>
        <v>#DIV/0!</v>
      </c>
      <c r="G76" s="154" t="e">
        <f t="shared" si="13"/>
        <v>#DIV/0!</v>
      </c>
      <c r="H76" s="154" t="e">
        <f t="shared" si="13"/>
        <v>#DIV/0!</v>
      </c>
      <c r="I76" s="154" t="e">
        <f t="shared" si="13"/>
        <v>#DIV/0!</v>
      </c>
      <c r="J76" s="154" t="e">
        <f t="shared" si="13"/>
        <v>#DIV/0!</v>
      </c>
      <c r="K76" s="153" t="s">
        <v>153</v>
      </c>
    </row>
    <row r="77" spans="1:12" ht="14.4" customHeight="1" thickBot="1" x14ac:dyDescent="0.3">
      <c r="A77" s="168" t="s">
        <v>158</v>
      </c>
      <c r="B77" s="154" t="e">
        <f>B76/2</f>
        <v>#DIV/0!</v>
      </c>
      <c r="C77" s="154" t="e">
        <f t="shared" ref="C77:G77" si="14">C76/2</f>
        <v>#DIV/0!</v>
      </c>
      <c r="D77" s="154" t="e">
        <f t="shared" si="14"/>
        <v>#DIV/0!</v>
      </c>
      <c r="E77" s="154" t="e">
        <f t="shared" si="14"/>
        <v>#DIV/0!</v>
      </c>
      <c r="F77" s="154" t="e">
        <f t="shared" si="14"/>
        <v>#DIV/0!</v>
      </c>
      <c r="G77" s="154" t="e">
        <f t="shared" si="14"/>
        <v>#DIV/0!</v>
      </c>
      <c r="H77" s="154" t="e">
        <f>H76/2</f>
        <v>#DIV/0!</v>
      </c>
      <c r="I77" s="154" t="e">
        <f>I76/2</f>
        <v>#DIV/0!</v>
      </c>
      <c r="J77" s="154" t="e">
        <f>J76/2</f>
        <v>#DIV/0!</v>
      </c>
      <c r="K77" s="167" t="s">
        <v>153</v>
      </c>
    </row>
    <row r="78" spans="1:12" ht="14.4" customHeight="1" thickBot="1" x14ac:dyDescent="0.3">
      <c r="A78" s="19" t="s">
        <v>159</v>
      </c>
      <c r="B78" s="194" t="e">
        <f t="shared" ref="B78:J78" si="15">IF((($B$67*B$75)/(($B$72-((SUM($B$16,$B$18,$B$20,$B$22)*0.155)*$B$71))/$B$71))&lt;0.5,0.5,(($B$67*B$75)/(($B$72-((SUM($B$16,$B$18,$B$20,$B$22)*0.155)*$B$71))/$B$71)))</f>
        <v>#DIV/0!</v>
      </c>
      <c r="C78" s="194" t="e">
        <f t="shared" si="15"/>
        <v>#DIV/0!</v>
      </c>
      <c r="D78" s="194" t="e">
        <f t="shared" si="15"/>
        <v>#DIV/0!</v>
      </c>
      <c r="E78" s="194" t="e">
        <f t="shared" si="15"/>
        <v>#DIV/0!</v>
      </c>
      <c r="F78" s="194" t="e">
        <f t="shared" si="15"/>
        <v>#DIV/0!</v>
      </c>
      <c r="G78" s="194" t="e">
        <f t="shared" si="15"/>
        <v>#DIV/0!</v>
      </c>
      <c r="H78" s="194" t="e">
        <f t="shared" si="15"/>
        <v>#DIV/0!</v>
      </c>
      <c r="I78" s="194" t="e">
        <f t="shared" si="15"/>
        <v>#DIV/0!</v>
      </c>
      <c r="J78" s="194" t="e">
        <f t="shared" si="15"/>
        <v>#DIV/0!</v>
      </c>
      <c r="K78" s="108" t="s">
        <v>131</v>
      </c>
    </row>
    <row r="79" spans="1:12" ht="14.4" customHeight="1" thickBot="1" x14ac:dyDescent="0.3">
      <c r="A79" s="17"/>
      <c r="E79" s="32"/>
    </row>
    <row r="80" spans="1:12" ht="14.4" customHeight="1" thickBot="1" x14ac:dyDescent="0.3">
      <c r="A80" s="8" t="s">
        <v>160</v>
      </c>
      <c r="B80" s="147"/>
      <c r="C80" s="147"/>
      <c r="D80" s="147"/>
      <c r="E80" s="162"/>
      <c r="F80" s="147"/>
      <c r="G80" s="147"/>
      <c r="H80" s="147"/>
      <c r="I80" s="147"/>
      <c r="J80" s="147"/>
      <c r="K80" s="148"/>
      <c r="L80" s="151" t="s">
        <v>154</v>
      </c>
    </row>
    <row r="81" spans="1:11" ht="14.4" customHeight="1" x14ac:dyDescent="0.25">
      <c r="A81" s="163" t="s">
        <v>161</v>
      </c>
      <c r="B81" s="48">
        <v>0.5</v>
      </c>
      <c r="C81" s="52"/>
      <c r="D81" s="52">
        <v>0.75</v>
      </c>
      <c r="E81" s="161"/>
      <c r="F81" s="52"/>
      <c r="G81" s="52">
        <v>1</v>
      </c>
      <c r="H81" s="52">
        <v>1.5</v>
      </c>
      <c r="I81" s="52">
        <v>2.5</v>
      </c>
      <c r="J81" s="165">
        <v>4</v>
      </c>
      <c r="K81" s="152" t="s">
        <v>131</v>
      </c>
    </row>
    <row r="82" spans="1:11" ht="14.4" customHeight="1" x14ac:dyDescent="0.25">
      <c r="A82" s="164" t="s">
        <v>157</v>
      </c>
      <c r="B82" s="154" t="e">
        <f t="shared" ref="B82:J82" si="16">$B$67*B84/B81*2</f>
        <v>#DIV/0!</v>
      </c>
      <c r="C82" s="154" t="e">
        <f t="shared" si="16"/>
        <v>#DIV/0!</v>
      </c>
      <c r="D82" s="154" t="e">
        <f t="shared" si="16"/>
        <v>#DIV/0!</v>
      </c>
      <c r="E82" s="154" t="e">
        <f t="shared" si="16"/>
        <v>#DIV/0!</v>
      </c>
      <c r="F82" s="154" t="e">
        <f t="shared" si="16"/>
        <v>#DIV/0!</v>
      </c>
      <c r="G82" s="154" t="e">
        <f t="shared" si="16"/>
        <v>#DIV/0!</v>
      </c>
      <c r="H82" s="154" t="e">
        <f t="shared" si="16"/>
        <v>#DIV/0!</v>
      </c>
      <c r="I82" s="154" t="e">
        <f t="shared" si="16"/>
        <v>#DIV/0!</v>
      </c>
      <c r="J82" s="154" t="e">
        <f t="shared" si="16"/>
        <v>#DIV/0!</v>
      </c>
      <c r="K82" s="153" t="s">
        <v>153</v>
      </c>
    </row>
    <row r="83" spans="1:11" ht="14.4" customHeight="1" thickBot="1" x14ac:dyDescent="0.3">
      <c r="A83" s="166" t="s">
        <v>158</v>
      </c>
      <c r="B83" s="154" t="e">
        <f>B82/2</f>
        <v>#DIV/0!</v>
      </c>
      <c r="C83" s="154" t="e">
        <f t="shared" ref="C83:G83" si="17">C82/2</f>
        <v>#DIV/0!</v>
      </c>
      <c r="D83" s="154" t="e">
        <f t="shared" si="17"/>
        <v>#DIV/0!</v>
      </c>
      <c r="E83" s="154" t="e">
        <f t="shared" si="17"/>
        <v>#DIV/0!</v>
      </c>
      <c r="F83" s="154" t="e">
        <f t="shared" si="17"/>
        <v>#DIV/0!</v>
      </c>
      <c r="G83" s="154" t="e">
        <f t="shared" si="17"/>
        <v>#DIV/0!</v>
      </c>
      <c r="H83" s="154" t="e">
        <f>H82/2</f>
        <v>#DIV/0!</v>
      </c>
      <c r="I83" s="154" t="e">
        <f>I82/2</f>
        <v>#DIV/0!</v>
      </c>
      <c r="J83" s="154" t="e">
        <f>J82/2</f>
        <v>#DIV/0!</v>
      </c>
      <c r="K83" s="167" t="s">
        <v>153</v>
      </c>
    </row>
    <row r="84" spans="1:11" ht="14.4" customHeight="1" thickBot="1" x14ac:dyDescent="0.3">
      <c r="A84" s="108" t="s">
        <v>162</v>
      </c>
      <c r="B84" s="194" t="e">
        <f t="shared" ref="B84:J84" si="18">IF((((($B$72-((SUM($B$16,$B$18,$B$20,$B$22)*0.155)*$B$71))/$B$71)*B$81)/$B$67)&gt;3500,3500,(((($B$72-((SUM($B$16,$B$18,$B$20,$B$22)*0.155)*$B$71))/$B$71)*B$81)/$B$67))</f>
        <v>#DIV/0!</v>
      </c>
      <c r="C84" s="194" t="e">
        <f t="shared" si="18"/>
        <v>#DIV/0!</v>
      </c>
      <c r="D84" s="194" t="e">
        <f t="shared" si="18"/>
        <v>#DIV/0!</v>
      </c>
      <c r="E84" s="194" t="e">
        <f t="shared" si="18"/>
        <v>#DIV/0!</v>
      </c>
      <c r="F84" s="194" t="e">
        <f t="shared" si="18"/>
        <v>#DIV/0!</v>
      </c>
      <c r="G84" s="194" t="e">
        <f t="shared" si="18"/>
        <v>#DIV/0!</v>
      </c>
      <c r="H84" s="194" t="e">
        <f t="shared" si="18"/>
        <v>#DIV/0!</v>
      </c>
      <c r="I84" s="194" t="e">
        <f t="shared" si="18"/>
        <v>#DIV/0!</v>
      </c>
      <c r="J84" s="194" t="e">
        <f t="shared" si="18"/>
        <v>#DIV/0!</v>
      </c>
      <c r="K84" s="108" t="s">
        <v>152</v>
      </c>
    </row>
    <row r="85" spans="1:11" ht="14.4" customHeight="1" thickBot="1" x14ac:dyDescent="0.3">
      <c r="A85" s="17"/>
      <c r="E85" s="32"/>
    </row>
    <row r="86" spans="1:11" ht="14.4" customHeight="1" thickBot="1" x14ac:dyDescent="0.3">
      <c r="A86" s="8" t="s">
        <v>163</v>
      </c>
      <c r="B86" s="147"/>
      <c r="C86" s="147"/>
      <c r="D86" s="148"/>
      <c r="E86" s="32"/>
    </row>
    <row r="87" spans="1:11" ht="14.4" customHeight="1" x14ac:dyDescent="0.25">
      <c r="A87" s="158" t="s">
        <v>164</v>
      </c>
      <c r="B87" s="52">
        <f>$B$8</f>
        <v>1.5</v>
      </c>
      <c r="C87" s="52"/>
      <c r="D87" s="114" t="s">
        <v>131</v>
      </c>
      <c r="E87" s="32"/>
      <c r="H87" s="150" t="str">
        <f>IF(B87&lt;0.5,"Error: The Minimum Cable Seccion in the Loop is 0,5 mm2","")</f>
        <v/>
      </c>
    </row>
    <row r="88" spans="1:11" ht="14.4" customHeight="1" x14ac:dyDescent="0.25">
      <c r="A88" s="39" t="s">
        <v>165</v>
      </c>
      <c r="B88" s="60">
        <f>$B$9</f>
        <v>2000</v>
      </c>
      <c r="C88" s="60"/>
      <c r="D88" s="109" t="s">
        <v>131</v>
      </c>
      <c r="E88" s="32"/>
      <c r="H88" s="150" t="str">
        <f>IF(B88&gt;3500,"Error: The Maximum Lenght in the Line is 3500 meters","")</f>
        <v/>
      </c>
    </row>
    <row r="89" spans="1:11" ht="14.4" customHeight="1" x14ac:dyDescent="0.25">
      <c r="A89" s="39" t="s">
        <v>166</v>
      </c>
      <c r="B89" s="156">
        <f>((($B$67*B88)/B87)*2)+(SUM(B16,B18,B20,B22,)*0.155)</f>
        <v>45.866666666666667</v>
      </c>
      <c r="C89" s="60"/>
      <c r="D89" s="123" t="s">
        <v>153</v>
      </c>
      <c r="E89" s="32"/>
    </row>
    <row r="90" spans="1:11" ht="14.4" customHeight="1" thickBot="1" x14ac:dyDescent="0.3">
      <c r="A90" s="140" t="s">
        <v>167</v>
      </c>
      <c r="B90" s="155">
        <f>B89/2</f>
        <v>22.933333333333334</v>
      </c>
      <c r="C90" s="124"/>
      <c r="D90" s="125" t="s">
        <v>153</v>
      </c>
      <c r="E90" s="32"/>
    </row>
    <row r="91" spans="1:11" ht="14.4" customHeight="1" thickBot="1" x14ac:dyDescent="0.3">
      <c r="A91" s="170" t="s">
        <v>168</v>
      </c>
      <c r="B91" s="172">
        <f>$B$72/$B$90</f>
        <v>0.30087209302325585</v>
      </c>
      <c r="C91" s="171"/>
      <c r="D91" s="173" t="s">
        <v>9</v>
      </c>
      <c r="E91" s="32"/>
    </row>
    <row r="92" spans="1:11" ht="14.4" customHeight="1" thickBot="1" x14ac:dyDescent="0.3">
      <c r="A92" s="160" t="s">
        <v>134</v>
      </c>
      <c r="B92" s="147"/>
      <c r="C92" s="147"/>
      <c r="D92" s="148"/>
      <c r="E92" s="32"/>
    </row>
    <row r="93" spans="1:11" ht="14.4" customHeight="1" thickBot="1" x14ac:dyDescent="0.3">
      <c r="A93" s="160" t="s">
        <v>135</v>
      </c>
      <c r="B93" s="148"/>
      <c r="C93" s="11"/>
      <c r="D93" s="159" t="str">
        <f>IF($B$71&gt;0.4,"FAIL",IF($B$91&gt;=$B$71,"OK","FAIL"))</f>
        <v>OK</v>
      </c>
      <c r="E93" s="32"/>
      <c r="H93" s="150" t="str">
        <f>IF($B$71&gt;0.4,"Error: The Loop Current is upper that Maximum Current allowed",IF($B$91&lt;$B$71,"Error: The Loop Current is upper that Maximum Current allowed",""))</f>
        <v/>
      </c>
    </row>
    <row r="94" spans="1:11" ht="14.4" customHeight="1" thickBot="1" x14ac:dyDescent="0.3">
      <c r="A94" s="160" t="s">
        <v>136</v>
      </c>
      <c r="B94" s="148"/>
      <c r="C94" s="136"/>
      <c r="D94" s="157" t="str">
        <f>IF($L$63&lt;=250,"OK","FAIL")</f>
        <v>OK</v>
      </c>
      <c r="E94" s="32"/>
      <c r="H94" s="150" t="str">
        <f>IF($L$63&gt;250,"Error: The Loop cannot contain more than 250 addresses","")</f>
        <v/>
      </c>
    </row>
    <row r="95" spans="1:11" ht="14.4" customHeight="1" x14ac:dyDescent="0.25">
      <c r="A95" s="17"/>
      <c r="E95" s="32"/>
    </row>
    <row r="97" spans="1:12" ht="27" customHeight="1" x14ac:dyDescent="0.25">
      <c r="A97" s="238" t="s">
        <v>13</v>
      </c>
      <c r="B97" s="238"/>
      <c r="C97" s="238"/>
      <c r="D97" s="238"/>
      <c r="E97" s="238"/>
      <c r="F97" s="238"/>
      <c r="G97" s="238"/>
      <c r="H97" s="238"/>
      <c r="I97" s="238"/>
      <c r="J97" s="238"/>
      <c r="K97" s="238"/>
      <c r="L97" s="238"/>
    </row>
  </sheetData>
  <sheetProtection algorithmName="SHA-512" hashValue="vCsZqDX6+ewz2DFFhvb2NYCoKiS7PGatz/PsS9BfZr5kC2Ws1JLyLY1rwJEpXYJqQUTGogBNhRDluTvdb7CJ4w==" saltValue="QFwDbG10UrOKD6Vi4okvuA==" spinCount="100000" sheet="1" sort="0" autoFilter="0" pivotTables="0"/>
  <mergeCells count="5">
    <mergeCell ref="J7:K7"/>
    <mergeCell ref="G8:I9"/>
    <mergeCell ref="J8:K8"/>
    <mergeCell ref="J9:K9"/>
    <mergeCell ref="A97:L97"/>
  </mergeCells>
  <conditionalFormatting sqref="I43 N39:N42">
    <cfRule type="expression" dxfId="129" priority="24" stopIfTrue="1">
      <formula>$B$38&gt;2</formula>
    </cfRule>
    <cfRule type="expression" dxfId="128" priority="25" stopIfTrue="1">
      <formula>$B$38&lt;3</formula>
    </cfRule>
  </conditionalFormatting>
  <conditionalFormatting sqref="N35:N36">
    <cfRule type="expression" dxfId="127" priority="22" stopIfTrue="1">
      <formula>$B$37&gt;4</formula>
    </cfRule>
    <cfRule type="expression" dxfId="126" priority="23" stopIfTrue="1">
      <formula>$B$37&lt;5</formula>
    </cfRule>
  </conditionalFormatting>
  <conditionalFormatting sqref="N33">
    <cfRule type="expression" dxfId="125" priority="20" stopIfTrue="1">
      <formula>$B$38&gt;2</formula>
    </cfRule>
    <cfRule type="expression" dxfId="124" priority="21" stopIfTrue="1">
      <formula>$B$38&lt;3</formula>
    </cfRule>
  </conditionalFormatting>
  <conditionalFormatting sqref="N34">
    <cfRule type="expression" dxfId="123" priority="18" stopIfTrue="1">
      <formula>$B$38&gt;2</formula>
    </cfRule>
    <cfRule type="expression" dxfId="122" priority="19" stopIfTrue="1">
      <formula>$B$38&lt;3</formula>
    </cfRule>
  </conditionalFormatting>
  <conditionalFormatting sqref="N38">
    <cfRule type="expression" dxfId="121" priority="14" stopIfTrue="1">
      <formula>$B$38&gt;2</formula>
    </cfRule>
    <cfRule type="expression" dxfId="120" priority="15" stopIfTrue="1">
      <formula>$B$38&lt;3</formula>
    </cfRule>
  </conditionalFormatting>
  <conditionalFormatting sqref="N37">
    <cfRule type="expression" dxfId="119" priority="16" stopIfTrue="1">
      <formula>$B$38&gt;2</formula>
    </cfRule>
    <cfRule type="expression" dxfId="118" priority="17" stopIfTrue="1">
      <formula>$B$38&lt;3</formula>
    </cfRule>
  </conditionalFormatting>
  <conditionalFormatting sqref="J15:J45 J52:J62">
    <cfRule type="cellIs" dxfId="117" priority="13" operator="equal">
      <formula>0</formula>
    </cfRule>
  </conditionalFormatting>
  <conditionalFormatting sqref="L9">
    <cfRule type="cellIs" dxfId="116" priority="9" stopIfTrue="1" operator="equal">
      <formula>"FAIL"</formula>
    </cfRule>
  </conditionalFormatting>
  <conditionalFormatting sqref="D93">
    <cfRule type="cellIs" dxfId="115" priority="12" stopIfTrue="1" operator="equal">
      <formula>"FAIL"</formula>
    </cfRule>
  </conditionalFormatting>
  <conditionalFormatting sqref="D94">
    <cfRule type="cellIs" dxfId="114" priority="11" stopIfTrue="1" operator="equal">
      <formula>"FAIL"</formula>
    </cfRule>
  </conditionalFormatting>
  <conditionalFormatting sqref="L8">
    <cfRule type="cellIs" dxfId="113" priority="10" stopIfTrue="1" operator="equal">
      <formula>"FAIL"</formula>
    </cfRule>
  </conditionalFormatting>
  <conditionalFormatting sqref="B76:J77">
    <cfRule type="containsErrors" dxfId="112" priority="8">
      <formula>ISERROR(B76)</formula>
    </cfRule>
  </conditionalFormatting>
  <conditionalFormatting sqref="B82:J83">
    <cfRule type="containsErrors" dxfId="111" priority="7">
      <formula>ISERROR(B82)</formula>
    </cfRule>
  </conditionalFormatting>
  <conditionalFormatting sqref="B78">
    <cfRule type="containsErrors" dxfId="110" priority="26">
      <formula>ISERROR(B78)</formula>
    </cfRule>
  </conditionalFormatting>
  <conditionalFormatting sqref="D78:J78">
    <cfRule type="containsErrors" dxfId="109" priority="6">
      <formula>ISERROR(D78)</formula>
    </cfRule>
  </conditionalFormatting>
  <conditionalFormatting sqref="B84">
    <cfRule type="containsErrors" dxfId="108" priority="5">
      <formula>ISERROR(B84)</formula>
    </cfRule>
  </conditionalFormatting>
  <conditionalFormatting sqref="D84:J84">
    <cfRule type="containsErrors" dxfId="107" priority="4">
      <formula>ISERROR(D84)</formula>
    </cfRule>
  </conditionalFormatting>
  <conditionalFormatting sqref="N54">
    <cfRule type="expression" dxfId="106" priority="2" stopIfTrue="1">
      <formula>$B$37&gt;4</formula>
    </cfRule>
    <cfRule type="expression" dxfId="105" priority="3" stopIfTrue="1">
      <formula>$B$37&lt;5</formula>
    </cfRule>
  </conditionalFormatting>
  <conditionalFormatting sqref="J46:J51">
    <cfRule type="cellIs" dxfId="104" priority="1" operator="equal">
      <formula>0</formula>
    </cfRule>
  </conditionalFormatting>
  <pageMargins left="0.78740157480314965" right="0.39370078740157483" top="0.39370078740157483" bottom="0.39370078740157483" header="0" footer="0"/>
  <pageSetup paperSize="9" scale="87" orientation="portrait" horizontalDpi="1200" verticalDpi="12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8AD2CF2-E515-4DD2-9D72-852A5998E6FA}">
          <x14:formula1>
            <xm:f>Datos!$F$16:$F$20</xm:f>
          </x14:formula1>
          <xm:sqref>B8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428A1-47B6-498A-838C-6F89285068D0}">
  <sheetPr codeName="Hoja7">
    <pageSetUpPr fitToPage="1"/>
  </sheetPr>
  <dimension ref="A1:N97"/>
  <sheetViews>
    <sheetView zoomScale="120" zoomScaleNormal="120" workbookViewId="0">
      <pane xSplit="12" ySplit="14" topLeftCell="M15" activePane="bottomRight" state="frozen"/>
      <selection activeCell="A64" sqref="A64"/>
      <selection pane="topRight" activeCell="A64" sqref="A64"/>
      <selection pane="bottomLeft" activeCell="A64" sqref="A64"/>
      <selection pane="bottomRight" activeCell="D15" sqref="D15"/>
    </sheetView>
  </sheetViews>
  <sheetFormatPr baseColWidth="10" defaultRowHeight="13.2" x14ac:dyDescent="0.25"/>
  <cols>
    <col min="1" max="1" width="35.109375" customWidth="1"/>
    <col min="2" max="2" width="10.6640625" customWidth="1"/>
    <col min="3" max="3" width="11.109375" hidden="1" customWidth="1"/>
    <col min="4" max="4" width="12.77734375" customWidth="1"/>
    <col min="5" max="6" width="10.6640625" hidden="1" customWidth="1"/>
    <col min="7" max="7" width="10.5546875" bestFit="1" customWidth="1"/>
    <col min="8" max="8" width="10.6640625" customWidth="1"/>
    <col min="9" max="9" width="5.5546875" bestFit="1" customWidth="1"/>
    <col min="10" max="10" width="7" customWidth="1"/>
    <col min="11" max="11" width="6.44140625" customWidth="1"/>
    <col min="12" max="12" width="6.5546875" customWidth="1"/>
    <col min="14" max="16" width="11.5546875" customWidth="1"/>
  </cols>
  <sheetData>
    <row r="1" spans="1:14" x14ac:dyDescent="0.25">
      <c r="H1" s="1"/>
      <c r="I1" s="2"/>
      <c r="J1" s="2"/>
      <c r="K1" s="2"/>
    </row>
    <row r="2" spans="1:14" x14ac:dyDescent="0.25">
      <c r="H2" s="1"/>
      <c r="I2" s="2"/>
      <c r="J2" s="2"/>
      <c r="K2" s="2"/>
    </row>
    <row r="3" spans="1:14" ht="14.4" x14ac:dyDescent="0.3">
      <c r="A3" s="3"/>
      <c r="H3" s="1"/>
      <c r="I3" s="2"/>
      <c r="J3" s="2"/>
      <c r="K3" s="2"/>
    </row>
    <row r="4" spans="1:14" ht="14.4" x14ac:dyDescent="0.3">
      <c r="A4" s="3"/>
      <c r="H4" s="1"/>
      <c r="I4" s="2"/>
      <c r="J4" s="2"/>
      <c r="K4" s="2"/>
    </row>
    <row r="5" spans="1:14" s="7" customFormat="1" ht="13.8" thickBot="1" x14ac:dyDescent="0.3">
      <c r="A5" s="4" t="str">
        <f>'System Calculation'!A7</f>
        <v>SYSTEM CALCULATOR DETNOV CAD-150 EXCEL TOOL</v>
      </c>
      <c r="B5" s="4"/>
      <c r="C5" s="4"/>
      <c r="D5" s="4"/>
      <c r="E5" s="4"/>
      <c r="F5" s="4"/>
      <c r="G5" s="4"/>
      <c r="H5" s="6"/>
      <c r="I5" s="5"/>
      <c r="J5" s="5"/>
      <c r="K5" s="5"/>
      <c r="L5" s="16" t="str">
        <f>'System Calculation'!J7</f>
        <v>SC 116 en 2019 f</v>
      </c>
    </row>
    <row r="6" spans="1:14" s="7" customFormat="1" ht="13.8" thickBot="1" x14ac:dyDescent="0.3">
      <c r="B6" s="29"/>
      <c r="C6" s="29"/>
      <c r="D6" s="29"/>
      <c r="E6" s="29"/>
      <c r="F6" s="29"/>
      <c r="G6" s="29"/>
      <c r="H6" s="36"/>
      <c r="I6" s="37"/>
      <c r="J6" s="37"/>
      <c r="K6" s="37"/>
      <c r="L6" s="38"/>
    </row>
    <row r="7" spans="1:14" s="7" customFormat="1" ht="13.8" thickBot="1" x14ac:dyDescent="0.3">
      <c r="A7" s="19" t="s">
        <v>62</v>
      </c>
      <c r="B7" s="115"/>
      <c r="C7" s="115"/>
      <c r="D7" s="116"/>
      <c r="E7" s="29"/>
      <c r="F7" s="29"/>
      <c r="G7" s="29"/>
      <c r="H7" s="36"/>
      <c r="J7" s="239" t="s">
        <v>134</v>
      </c>
      <c r="K7" s="243"/>
      <c r="L7" s="135"/>
      <c r="M7" s="38"/>
    </row>
    <row r="8" spans="1:14" s="7" customFormat="1" ht="13.8" thickBot="1" x14ac:dyDescent="0.3">
      <c r="A8" s="111" t="s">
        <v>129</v>
      </c>
      <c r="B8" s="117">
        <v>1.5</v>
      </c>
      <c r="C8" s="113"/>
      <c r="D8" s="114" t="s">
        <v>131</v>
      </c>
      <c r="E8" s="29"/>
      <c r="F8" s="29"/>
      <c r="G8" s="244" t="str">
        <f>IF(B9&gt;3500,"Error: The Maximum Lenght in the Line is 3500 m","")</f>
        <v/>
      </c>
      <c r="H8" s="244"/>
      <c r="I8" s="245"/>
      <c r="J8" s="239" t="s">
        <v>135</v>
      </c>
      <c r="K8" s="240"/>
      <c r="L8" s="159" t="str">
        <f>IF($B$71&gt;0.4,"FAIL",IF($B$91&gt;=$B$71,"OK","FAIL"))</f>
        <v>OK</v>
      </c>
      <c r="N8" s="150" t="str">
        <f>IF($B$71&gt;0.4,"Error: The Loop Current is upper that Maximum Current allowed",IF($B$91&lt;$B$71,"Error: The Loop Current is upper that Maximum Current allowed",""))</f>
        <v/>
      </c>
    </row>
    <row r="9" spans="1:14" s="7" customFormat="1" ht="13.8" thickBot="1" x14ac:dyDescent="0.3">
      <c r="A9" s="26" t="s">
        <v>130</v>
      </c>
      <c r="B9" s="118">
        <v>2000</v>
      </c>
      <c r="C9" s="110"/>
      <c r="D9" s="34" t="s">
        <v>132</v>
      </c>
      <c r="E9" s="29"/>
      <c r="F9" s="29"/>
      <c r="G9" s="244"/>
      <c r="H9" s="244"/>
      <c r="I9" s="245"/>
      <c r="J9" s="241" t="s">
        <v>136</v>
      </c>
      <c r="K9" s="242"/>
      <c r="L9" s="157" t="str">
        <f>IF($L$63&lt;=250,"OK","FAIL")</f>
        <v>OK</v>
      </c>
      <c r="N9" s="150" t="str">
        <f>IF($L$63&gt;250,"Error: The Loop cannot contain more than 250 addresses","")</f>
        <v/>
      </c>
    </row>
    <row r="10" spans="1:14" s="7" customFormat="1" x14ac:dyDescent="0.25">
      <c r="A10" s="149" t="s">
        <v>150</v>
      </c>
      <c r="B10" s="29"/>
      <c r="C10" s="29"/>
      <c r="D10" s="29"/>
      <c r="E10" s="29"/>
      <c r="F10" s="29"/>
      <c r="G10" s="29"/>
      <c r="H10" s="36"/>
      <c r="I10" s="37"/>
      <c r="J10" s="37"/>
      <c r="K10" s="37"/>
      <c r="L10" s="38"/>
    </row>
    <row r="11" spans="1:14" s="7" customFormat="1" x14ac:dyDescent="0.25">
      <c r="A11" s="149"/>
      <c r="B11" s="29"/>
      <c r="C11" s="29"/>
      <c r="D11" s="29"/>
      <c r="E11" s="29"/>
      <c r="F11" s="29"/>
      <c r="G11" s="29"/>
      <c r="H11" s="36"/>
      <c r="I11" s="37"/>
      <c r="J11" s="37"/>
      <c r="K11" s="37"/>
      <c r="L11" s="38"/>
    </row>
    <row r="12" spans="1:14" ht="13.8" thickBot="1" x14ac:dyDescent="0.3">
      <c r="B12" s="40" t="s">
        <v>10</v>
      </c>
      <c r="C12" s="15" t="s">
        <v>10</v>
      </c>
    </row>
    <row r="13" spans="1:14" ht="13.8" thickBot="1" x14ac:dyDescent="0.3">
      <c r="A13" s="8" t="s">
        <v>176</v>
      </c>
      <c r="B13" s="9"/>
      <c r="C13" s="9"/>
      <c r="D13" s="9"/>
      <c r="E13" s="9"/>
      <c r="F13" s="9"/>
      <c r="G13" s="9"/>
      <c r="H13" s="147"/>
      <c r="I13" s="147"/>
      <c r="J13" s="147"/>
      <c r="K13" s="147"/>
      <c r="L13" s="148"/>
    </row>
    <row r="14" spans="1:14" s="7" customFormat="1" ht="13.8" thickBot="1" x14ac:dyDescent="0.3">
      <c r="A14" s="143" t="s">
        <v>0</v>
      </c>
      <c r="B14" s="144" t="s">
        <v>1</v>
      </c>
      <c r="C14" s="144" t="s">
        <v>38</v>
      </c>
      <c r="D14" s="144" t="s">
        <v>38</v>
      </c>
      <c r="E14" s="144" t="s">
        <v>110</v>
      </c>
      <c r="F14" s="144" t="s">
        <v>39</v>
      </c>
      <c r="G14" s="144" t="s">
        <v>39</v>
      </c>
      <c r="H14" s="145" t="s">
        <v>133</v>
      </c>
      <c r="I14" s="145" t="s">
        <v>146</v>
      </c>
      <c r="J14" s="145" t="s">
        <v>147</v>
      </c>
      <c r="K14" s="145" t="s">
        <v>148</v>
      </c>
      <c r="L14" s="146" t="s">
        <v>149</v>
      </c>
    </row>
    <row r="15" spans="1:14" x14ac:dyDescent="0.25">
      <c r="A15" s="132" t="str">
        <f>'SC_Loop 1'!A15</f>
        <v>DOD-220A</v>
      </c>
      <c r="B15" s="112"/>
      <c r="C15" s="198">
        <f>'SC_Loop 1'!C15</f>
        <v>2.9999999999999997E-4</v>
      </c>
      <c r="D15" s="133">
        <f>B15*C15</f>
        <v>0</v>
      </c>
      <c r="E15" s="234">
        <f>IF(B15&gt;10,10,B15)</f>
        <v>0</v>
      </c>
      <c r="F15" s="198">
        <f>'SC_Loop 1'!F15</f>
        <v>3.0000000000000001E-3</v>
      </c>
      <c r="G15" s="133">
        <f>E15*F15</f>
        <v>0</v>
      </c>
      <c r="H15" s="52"/>
      <c r="I15" s="52" t="str">
        <f t="shared" ref="I15:I26" si="0">IF(B15&lt;&gt;0,B15," ")</f>
        <v xml:space="preserve"> </v>
      </c>
      <c r="J15" s="52"/>
      <c r="K15" s="52"/>
      <c r="L15" s="134" t="str">
        <f>IF(I15&lt;&gt;0,I15," ")</f>
        <v xml:space="preserve"> </v>
      </c>
    </row>
    <row r="16" spans="1:14" x14ac:dyDescent="0.25">
      <c r="A16" s="22" t="str">
        <f>'SC_Loop 1'!A16</f>
        <v>DOD-220A-I</v>
      </c>
      <c r="B16" s="23"/>
      <c r="C16" s="24">
        <f>'SC_Loop 1'!C16</f>
        <v>2.9999999999999997E-4</v>
      </c>
      <c r="D16" s="68">
        <f>B16*C16</f>
        <v>0</v>
      </c>
      <c r="E16" s="234">
        <f t="shared" ref="E16:E22" si="1">IF(B16&gt;10,10,B16)</f>
        <v>0</v>
      </c>
      <c r="F16" s="24">
        <f>'SC_Loop 1'!F16</f>
        <v>3.0000000000000001E-3</v>
      </c>
      <c r="G16" s="68">
        <f>E16*F16</f>
        <v>0</v>
      </c>
      <c r="H16" s="60"/>
      <c r="I16" s="60" t="str">
        <f t="shared" si="0"/>
        <v xml:space="preserve"> </v>
      </c>
      <c r="J16" s="60"/>
      <c r="K16" s="60"/>
      <c r="L16" s="123" t="str">
        <f t="shared" ref="L16:L26" si="2">IF(I16&lt;&gt;0,I16," ")</f>
        <v xml:space="preserve"> </v>
      </c>
    </row>
    <row r="17" spans="1:12" x14ac:dyDescent="0.25">
      <c r="A17" s="22" t="str">
        <f>'SC_Loop 1'!A17</f>
        <v>DOTD-230A</v>
      </c>
      <c r="B17" s="23"/>
      <c r="C17" s="24">
        <f>'SC_Loop 1'!C17</f>
        <v>2.9999999999999997E-4</v>
      </c>
      <c r="D17" s="68">
        <f t="shared" ref="D17:D62" si="3">B17*C17</f>
        <v>0</v>
      </c>
      <c r="E17" s="234">
        <f t="shared" si="1"/>
        <v>0</v>
      </c>
      <c r="F17" s="24">
        <f>'SC_Loop 1'!F17</f>
        <v>3.0000000000000001E-3</v>
      </c>
      <c r="G17" s="68">
        <f t="shared" ref="G17:G62" si="4">E17*F17</f>
        <v>0</v>
      </c>
      <c r="H17" s="60"/>
      <c r="I17" s="60" t="str">
        <f t="shared" si="0"/>
        <v xml:space="preserve"> </v>
      </c>
      <c r="J17" s="60"/>
      <c r="K17" s="60"/>
      <c r="L17" s="123" t="str">
        <f t="shared" si="2"/>
        <v xml:space="preserve"> </v>
      </c>
    </row>
    <row r="18" spans="1:12" x14ac:dyDescent="0.25">
      <c r="A18" s="22" t="str">
        <f>'SC_Loop 1'!A18</f>
        <v>DOTD-230A-I</v>
      </c>
      <c r="B18" s="23"/>
      <c r="C18" s="24">
        <f>'SC_Loop 1'!C18</f>
        <v>2.9999999999999997E-4</v>
      </c>
      <c r="D18" s="68">
        <f t="shared" si="3"/>
        <v>0</v>
      </c>
      <c r="E18" s="234">
        <f t="shared" si="1"/>
        <v>0</v>
      </c>
      <c r="F18" s="24">
        <f>'SC_Loop 1'!F18</f>
        <v>3.0000000000000001E-3</v>
      </c>
      <c r="G18" s="68">
        <f t="shared" si="4"/>
        <v>0</v>
      </c>
      <c r="H18" s="60"/>
      <c r="I18" s="60" t="str">
        <f t="shared" si="0"/>
        <v xml:space="preserve"> </v>
      </c>
      <c r="J18" s="60"/>
      <c r="K18" s="60"/>
      <c r="L18" s="123" t="str">
        <f t="shared" si="2"/>
        <v xml:space="preserve"> </v>
      </c>
    </row>
    <row r="19" spans="1:12" x14ac:dyDescent="0.25">
      <c r="A19" s="22" t="str">
        <f>'SC_Loop 1'!A19</f>
        <v>DTD-210A</v>
      </c>
      <c r="B19" s="23"/>
      <c r="C19" s="24">
        <f>'SC_Loop 1'!C19</f>
        <v>2.9999999999999997E-4</v>
      </c>
      <c r="D19" s="68">
        <f t="shared" si="3"/>
        <v>0</v>
      </c>
      <c r="E19" s="234">
        <f t="shared" si="1"/>
        <v>0</v>
      </c>
      <c r="F19" s="24">
        <f>'SC_Loop 1'!F19</f>
        <v>3.0000000000000001E-3</v>
      </c>
      <c r="G19" s="68">
        <f t="shared" si="4"/>
        <v>0</v>
      </c>
      <c r="H19" s="60"/>
      <c r="I19" s="60" t="str">
        <f t="shared" si="0"/>
        <v xml:space="preserve"> </v>
      </c>
      <c r="J19" s="60"/>
      <c r="K19" s="60"/>
      <c r="L19" s="123" t="str">
        <f t="shared" si="2"/>
        <v xml:space="preserve"> </v>
      </c>
    </row>
    <row r="20" spans="1:12" x14ac:dyDescent="0.25">
      <c r="A20" s="22" t="str">
        <f>'SC_Loop 1'!A20</f>
        <v>DTD-210A-I</v>
      </c>
      <c r="B20" s="23"/>
      <c r="C20" s="24">
        <f>'SC_Loop 1'!C20</f>
        <v>2.9999999999999997E-4</v>
      </c>
      <c r="D20" s="68">
        <f t="shared" si="3"/>
        <v>0</v>
      </c>
      <c r="E20" s="234">
        <f t="shared" si="1"/>
        <v>0</v>
      </c>
      <c r="F20" s="24">
        <f>'SC_Loop 1'!F20</f>
        <v>3.0000000000000001E-3</v>
      </c>
      <c r="G20" s="68">
        <f t="shared" si="4"/>
        <v>0</v>
      </c>
      <c r="H20" s="60"/>
      <c r="I20" s="60" t="str">
        <f t="shared" si="0"/>
        <v xml:space="preserve"> </v>
      </c>
      <c r="J20" s="60"/>
      <c r="K20" s="60"/>
      <c r="L20" s="123" t="str">
        <f t="shared" si="2"/>
        <v xml:space="preserve"> </v>
      </c>
    </row>
    <row r="21" spans="1:12" x14ac:dyDescent="0.25">
      <c r="A21" s="22" t="str">
        <f>'SC_Loop 1'!A21</f>
        <v>DTD-215A</v>
      </c>
      <c r="B21" s="23"/>
      <c r="C21" s="24">
        <f>'SC_Loop 1'!C21</f>
        <v>2.9999999999999997E-4</v>
      </c>
      <c r="D21" s="68">
        <f t="shared" si="3"/>
        <v>0</v>
      </c>
      <c r="E21" s="234">
        <f t="shared" si="1"/>
        <v>0</v>
      </c>
      <c r="F21" s="24">
        <f>'SC_Loop 1'!F21</f>
        <v>3.0000000000000001E-3</v>
      </c>
      <c r="G21" s="68">
        <f t="shared" si="4"/>
        <v>0</v>
      </c>
      <c r="H21" s="60"/>
      <c r="I21" s="60" t="str">
        <f t="shared" si="0"/>
        <v xml:space="preserve"> </v>
      </c>
      <c r="J21" s="60"/>
      <c r="K21" s="60"/>
      <c r="L21" s="123" t="str">
        <f t="shared" si="2"/>
        <v xml:space="preserve"> </v>
      </c>
    </row>
    <row r="22" spans="1:12" x14ac:dyDescent="0.25">
      <c r="A22" s="22" t="str">
        <f>'SC_Loop 1'!A22</f>
        <v>DTD-215A-I</v>
      </c>
      <c r="B22" s="23"/>
      <c r="C22" s="24">
        <f>'SC_Loop 1'!C22</f>
        <v>2.9999999999999997E-4</v>
      </c>
      <c r="D22" s="68">
        <f t="shared" si="3"/>
        <v>0</v>
      </c>
      <c r="E22" s="234">
        <f t="shared" si="1"/>
        <v>0</v>
      </c>
      <c r="F22" s="24">
        <f>'SC_Loop 1'!F22</f>
        <v>3.0000000000000001E-3</v>
      </c>
      <c r="G22" s="68">
        <f t="shared" si="4"/>
        <v>0</v>
      </c>
      <c r="H22" s="60"/>
      <c r="I22" s="60" t="str">
        <f t="shared" si="0"/>
        <v xml:space="preserve"> </v>
      </c>
      <c r="J22" s="60"/>
      <c r="K22" s="60"/>
      <c r="L22" s="123" t="str">
        <f t="shared" si="2"/>
        <v xml:space="preserve"> </v>
      </c>
    </row>
    <row r="23" spans="1:12" x14ac:dyDescent="0.25">
      <c r="A23" s="22" t="str">
        <f>'SC_Loop 1'!A23</f>
        <v>DGD-600</v>
      </c>
      <c r="B23" s="23"/>
      <c r="C23" s="24">
        <f>'SC_Loop 1'!C23</f>
        <v>9.1E-4</v>
      </c>
      <c r="D23" s="68">
        <f t="shared" si="3"/>
        <v>0</v>
      </c>
      <c r="E23" s="234">
        <f>IF(B23&gt;10,10,B23)</f>
        <v>0</v>
      </c>
      <c r="F23" s="24">
        <f>'SC_Loop 1'!F23</f>
        <v>1.1000000000000001E-3</v>
      </c>
      <c r="G23" s="68">
        <f t="shared" si="4"/>
        <v>0</v>
      </c>
      <c r="H23" s="60"/>
      <c r="I23" s="60" t="str">
        <f t="shared" si="0"/>
        <v xml:space="preserve"> </v>
      </c>
      <c r="J23" s="60"/>
      <c r="K23" s="60"/>
      <c r="L23" s="123" t="str">
        <f t="shared" si="2"/>
        <v xml:space="preserve"> </v>
      </c>
    </row>
    <row r="24" spans="1:12" x14ac:dyDescent="0.25">
      <c r="A24" s="22" t="str">
        <f>'SC_Loop 1'!A24</f>
        <v>DGD-600-AC</v>
      </c>
      <c r="B24" s="23"/>
      <c r="C24" s="24">
        <f>'SC_Loop 1'!C24</f>
        <v>9.1E-4</v>
      </c>
      <c r="D24" s="68">
        <f t="shared" si="3"/>
        <v>0</v>
      </c>
      <c r="E24" s="234">
        <f t="shared" ref="E24:E26" si="5">IF(B24&gt;10,10,B24)</f>
        <v>0</v>
      </c>
      <c r="F24" s="24">
        <f>'SC_Loop 1'!F24</f>
        <v>1.1000000000000001E-3</v>
      </c>
      <c r="G24" s="68">
        <f t="shared" si="4"/>
        <v>0</v>
      </c>
      <c r="H24" s="60"/>
      <c r="I24" s="60" t="str">
        <f t="shared" si="0"/>
        <v xml:space="preserve"> </v>
      </c>
      <c r="J24" s="60"/>
      <c r="K24" s="60"/>
      <c r="L24" s="123" t="str">
        <f t="shared" si="2"/>
        <v xml:space="preserve"> </v>
      </c>
    </row>
    <row r="25" spans="1:12" x14ac:dyDescent="0.25">
      <c r="A25" s="22" t="str">
        <f>'SC_Loop 1'!A25</f>
        <v>DGD-620</v>
      </c>
      <c r="B25" s="23"/>
      <c r="C25" s="24">
        <f>'SC_Loop 1'!C25</f>
        <v>9.1E-4</v>
      </c>
      <c r="D25" s="68">
        <f t="shared" si="3"/>
        <v>0</v>
      </c>
      <c r="E25" s="234">
        <f t="shared" si="5"/>
        <v>0</v>
      </c>
      <c r="F25" s="24">
        <f>'SC_Loop 1'!F25</f>
        <v>1.1000000000000001E-3</v>
      </c>
      <c r="G25" s="68">
        <f t="shared" si="4"/>
        <v>0</v>
      </c>
      <c r="H25" s="60"/>
      <c r="I25" s="60" t="str">
        <f t="shared" si="0"/>
        <v xml:space="preserve"> </v>
      </c>
      <c r="J25" s="60"/>
      <c r="K25" s="60"/>
      <c r="L25" s="123" t="str">
        <f t="shared" si="2"/>
        <v xml:space="preserve"> </v>
      </c>
    </row>
    <row r="26" spans="1:12" x14ac:dyDescent="0.25">
      <c r="A26" s="22" t="str">
        <f>'SC_Loop 1'!A26</f>
        <v>DGD-620-AC</v>
      </c>
      <c r="B26" s="23"/>
      <c r="C26" s="24">
        <f>'SC_Loop 1'!C26</f>
        <v>9.1E-4</v>
      </c>
      <c r="D26" s="68">
        <f t="shared" si="3"/>
        <v>0</v>
      </c>
      <c r="E26" s="234">
        <f t="shared" si="5"/>
        <v>0</v>
      </c>
      <c r="F26" s="24">
        <f>'SC_Loop 1'!F26</f>
        <v>1.1000000000000001E-3</v>
      </c>
      <c r="G26" s="68">
        <f t="shared" si="4"/>
        <v>0</v>
      </c>
      <c r="H26" s="60"/>
      <c r="I26" s="60" t="str">
        <f t="shared" si="0"/>
        <v xml:space="preserve"> </v>
      </c>
      <c r="J26" s="60"/>
      <c r="K26" s="60"/>
      <c r="L26" s="123" t="str">
        <f t="shared" si="2"/>
        <v xml:space="preserve"> </v>
      </c>
    </row>
    <row r="27" spans="1:12" x14ac:dyDescent="0.25">
      <c r="A27" s="22" t="str">
        <f>'SC_Loop 1'!A27</f>
        <v>MAD-401 &amp; MAD-401-I</v>
      </c>
      <c r="B27" s="23"/>
      <c r="C27" s="24">
        <f>'SC_Loop 1'!C27</f>
        <v>2.9999999999999997E-4</v>
      </c>
      <c r="D27" s="68">
        <f t="shared" si="3"/>
        <v>0</v>
      </c>
      <c r="E27" s="233">
        <f>B27*'System Calculation'!$I$14</f>
        <v>0</v>
      </c>
      <c r="F27" s="24">
        <f>'SC_Loop 1'!F27</f>
        <v>3.0000000000000001E-3</v>
      </c>
      <c r="G27" s="68">
        <f t="shared" si="4"/>
        <v>0</v>
      </c>
      <c r="H27" s="60"/>
      <c r="I27" s="60"/>
      <c r="J27" s="60" t="str">
        <f>IF(B27&lt;&gt;0,B27," ")</f>
        <v xml:space="preserve"> </v>
      </c>
      <c r="K27" s="60"/>
      <c r="L27" s="123" t="str">
        <f>IF(J27&lt;&gt;0,J27," ")</f>
        <v xml:space="preserve"> </v>
      </c>
    </row>
    <row r="28" spans="1:12" x14ac:dyDescent="0.25">
      <c r="A28" s="22" t="str">
        <f>'SC_Loop 1'!A28</f>
        <v>MAD-402 &amp; MAD-402-I</v>
      </c>
      <c r="B28" s="23"/>
      <c r="C28" s="24">
        <f>'SC_Loop 1'!C28</f>
        <v>2.9999999999999997E-4</v>
      </c>
      <c r="D28" s="68">
        <f t="shared" si="3"/>
        <v>0</v>
      </c>
      <c r="E28" s="233">
        <f>B28*'System Calculation'!$I$14</f>
        <v>0</v>
      </c>
      <c r="F28" s="24">
        <f>'SC_Loop 1'!F28</f>
        <v>3.0000000000000001E-3</v>
      </c>
      <c r="G28" s="68">
        <f t="shared" si="4"/>
        <v>0</v>
      </c>
      <c r="H28" s="60"/>
      <c r="I28" s="60"/>
      <c r="J28" s="60">
        <f>IF(B28&lt;&gt;0,B28,0)</f>
        <v>0</v>
      </c>
      <c r="K28" s="60"/>
      <c r="L28" s="123" t="str">
        <f>IF(J28&lt;&gt;0,2*J28," ")</f>
        <v xml:space="preserve"> </v>
      </c>
    </row>
    <row r="29" spans="1:12" x14ac:dyDescent="0.25">
      <c r="A29" s="22" t="str">
        <f>'SC_Loop 1'!A29</f>
        <v>MAD-405-I</v>
      </c>
      <c r="B29" s="23"/>
      <c r="C29" s="24">
        <f>'SC_Loop 1'!C29</f>
        <v>2.9999999999999997E-4</v>
      </c>
      <c r="D29" s="68">
        <f t="shared" si="3"/>
        <v>0</v>
      </c>
      <c r="E29" s="233">
        <f>B29*'System Calculation'!$I$14</f>
        <v>0</v>
      </c>
      <c r="F29" s="24">
        <f>'SC_Loop 1'!F29</f>
        <v>3.0000000000000001E-3</v>
      </c>
      <c r="G29" s="68">
        <f t="shared" si="4"/>
        <v>0</v>
      </c>
      <c r="H29" s="60"/>
      <c r="I29" s="60"/>
      <c r="J29" s="60">
        <f>IF(B29&lt;&gt;0,B29,0)</f>
        <v>0</v>
      </c>
      <c r="K29" s="60"/>
      <c r="L29" s="123" t="str">
        <f>IF(J29&lt;&gt;0,5*J29," ")</f>
        <v xml:space="preserve"> </v>
      </c>
    </row>
    <row r="30" spans="1:12" x14ac:dyDescent="0.25">
      <c r="A30" s="22" t="str">
        <f>'SC_Loop 1'!A30</f>
        <v>MAD-409-I</v>
      </c>
      <c r="B30" s="23"/>
      <c r="C30" s="24">
        <f>'SC_Loop 1'!C30</f>
        <v>2.9999999999999997E-4</v>
      </c>
      <c r="D30" s="68">
        <f t="shared" si="3"/>
        <v>0</v>
      </c>
      <c r="E30" s="233">
        <f>B30*'System Calculation'!$I$14</f>
        <v>0</v>
      </c>
      <c r="F30" s="24">
        <f>'SC_Loop 1'!F30</f>
        <v>3.0000000000000001E-3</v>
      </c>
      <c r="G30" s="68">
        <f t="shared" si="4"/>
        <v>0</v>
      </c>
      <c r="H30" s="60"/>
      <c r="I30" s="60"/>
      <c r="J30" s="60">
        <f>IF(B30&lt;&gt;0,B30,0)</f>
        <v>0</v>
      </c>
      <c r="K30" s="60"/>
      <c r="L30" s="123" t="str">
        <f>IF(J30&lt;&gt;0,10*J30," ")</f>
        <v xml:space="preserve"> </v>
      </c>
    </row>
    <row r="31" spans="1:12" x14ac:dyDescent="0.25">
      <c r="A31" s="22" t="str">
        <f>'SC_Loop 1'!A31</f>
        <v>MAD-411 &amp; MAD-411-I</v>
      </c>
      <c r="B31" s="23"/>
      <c r="C31" s="24">
        <f>'SC_Loop 1'!C31</f>
        <v>2.9999999999999997E-4</v>
      </c>
      <c r="D31" s="68">
        <f t="shared" si="3"/>
        <v>0</v>
      </c>
      <c r="E31" s="233">
        <f>B31*'System Calculation'!$I$14</f>
        <v>0</v>
      </c>
      <c r="F31" s="24">
        <f>'SC_Loop 1'!F31</f>
        <v>3.0000000000000001E-3</v>
      </c>
      <c r="G31" s="68">
        <f t="shared" si="4"/>
        <v>0</v>
      </c>
      <c r="H31" s="60"/>
      <c r="I31" s="60"/>
      <c r="J31" s="60" t="str">
        <f>IF(B31&lt;&gt;0,B31," ")</f>
        <v xml:space="preserve"> </v>
      </c>
      <c r="K31" s="60"/>
      <c r="L31" s="123" t="str">
        <f>IF(J31&lt;&gt;0,J31," ")</f>
        <v xml:space="preserve"> </v>
      </c>
    </row>
    <row r="32" spans="1:12" x14ac:dyDescent="0.25">
      <c r="A32" s="22" t="str">
        <f>'SC_Loop 1'!A32</f>
        <v>MAD-412 &amp; MAD-412-I</v>
      </c>
      <c r="B32" s="23"/>
      <c r="C32" s="24">
        <f>'SC_Loop 1'!C32</f>
        <v>2.9999999999999997E-4</v>
      </c>
      <c r="D32" s="68">
        <f t="shared" si="3"/>
        <v>0</v>
      </c>
      <c r="E32" s="233">
        <f>B32*'System Calculation'!$I$14</f>
        <v>0</v>
      </c>
      <c r="F32" s="24">
        <f>'SC_Loop 1'!F32</f>
        <v>3.0000000000000001E-3</v>
      </c>
      <c r="G32" s="68">
        <f t="shared" si="4"/>
        <v>0</v>
      </c>
      <c r="H32" s="60"/>
      <c r="I32" s="60"/>
      <c r="J32" s="60">
        <f t="shared" ref="J32:J38" si="6">IF(B32&lt;&gt;0,B32,0)</f>
        <v>0</v>
      </c>
      <c r="K32" s="60"/>
      <c r="L32" s="123" t="str">
        <f>IF(J32&lt;&gt;0,2*J32," ")</f>
        <v xml:space="preserve"> </v>
      </c>
    </row>
    <row r="33" spans="1:14" x14ac:dyDescent="0.25">
      <c r="A33" s="22" t="str">
        <f>'SC_Loop 1'!A33</f>
        <v>MAD-415-I</v>
      </c>
      <c r="B33" s="23"/>
      <c r="C33" s="24">
        <f>'SC_Loop 1'!C33</f>
        <v>2.9999999999999997E-4</v>
      </c>
      <c r="D33" s="68">
        <f t="shared" si="3"/>
        <v>0</v>
      </c>
      <c r="E33" s="233">
        <f>B33*'System Calculation'!$I$14</f>
        <v>0</v>
      </c>
      <c r="F33" s="24">
        <f>'SC_Loop 1'!F33</f>
        <v>3.0000000000000001E-3</v>
      </c>
      <c r="G33" s="68">
        <f t="shared" si="4"/>
        <v>0</v>
      </c>
      <c r="H33" s="60"/>
      <c r="I33" s="60"/>
      <c r="J33" s="60">
        <f t="shared" si="6"/>
        <v>0</v>
      </c>
      <c r="K33" s="60"/>
      <c r="L33" s="123" t="str">
        <f>IF(J33&lt;&gt;0,5*J33," ")</f>
        <v xml:space="preserve"> </v>
      </c>
      <c r="N33" s="195" t="str">
        <f>IF(AND(B33&gt;0),"Info: External 24V needed. Control Panel could provide from 24Vaux, if 500mA maximum current isn't exceeded."," ")</f>
        <v xml:space="preserve"> </v>
      </c>
    </row>
    <row r="34" spans="1:14" x14ac:dyDescent="0.25">
      <c r="A34" s="22" t="str">
        <f>'SC_Loop 1'!A34</f>
        <v>MAD-419-I</v>
      </c>
      <c r="B34" s="23"/>
      <c r="C34" s="24">
        <f>'SC_Loop 1'!C34</f>
        <v>2.9999999999999997E-4</v>
      </c>
      <c r="D34" s="68">
        <f t="shared" si="3"/>
        <v>0</v>
      </c>
      <c r="E34" s="233">
        <f>B34*'System Calculation'!$I$14</f>
        <v>0</v>
      </c>
      <c r="F34" s="24">
        <f>'SC_Loop 1'!F34</f>
        <v>3.0000000000000001E-3</v>
      </c>
      <c r="G34" s="68">
        <f t="shared" si="4"/>
        <v>0</v>
      </c>
      <c r="H34" s="60"/>
      <c r="I34" s="60"/>
      <c r="J34" s="60">
        <f t="shared" si="6"/>
        <v>0</v>
      </c>
      <c r="K34" s="60"/>
      <c r="L34" s="123" t="str">
        <f>IF(J34&lt;&gt;0,10*J34," ")</f>
        <v xml:space="preserve"> </v>
      </c>
      <c r="N34" s="41" t="str">
        <f>IF(AND(B34&gt;0),"Info: External 24V needed. Control Panel could provide from 24Vaux, if 500mA maximum current isn't exceeded."," ")</f>
        <v xml:space="preserve"> </v>
      </c>
    </row>
    <row r="35" spans="1:14" x14ac:dyDescent="0.25">
      <c r="A35" s="22" t="str">
        <f>'SC_Loop 1'!A35</f>
        <v>MAD-421 &amp; MAD-421-I</v>
      </c>
      <c r="B35" s="23"/>
      <c r="C35" s="24">
        <f>'SC_Loop 1'!C35</f>
        <v>2.9999999999999997E-4</v>
      </c>
      <c r="D35" s="68">
        <f t="shared" si="3"/>
        <v>0</v>
      </c>
      <c r="E35" s="233">
        <f>B35*'System Calculation'!$I$14</f>
        <v>0</v>
      </c>
      <c r="F35" s="24">
        <f>'SC_Loop 1'!F35</f>
        <v>3.0000000000000001E-3</v>
      </c>
      <c r="G35" s="68">
        <f t="shared" si="4"/>
        <v>0</v>
      </c>
      <c r="H35" s="60"/>
      <c r="I35" s="60"/>
      <c r="J35" s="60">
        <f t="shared" si="6"/>
        <v>0</v>
      </c>
      <c r="K35" s="60"/>
      <c r="L35" s="123" t="str">
        <f>IF(J35&lt;&gt;0,2*J35," ")</f>
        <v xml:space="preserve"> </v>
      </c>
      <c r="N35" s="41"/>
    </row>
    <row r="36" spans="1:14" x14ac:dyDescent="0.25">
      <c r="A36" s="22" t="str">
        <f>'SC_Loop 1'!A36</f>
        <v>MAD-422 &amp; MAD-422-I</v>
      </c>
      <c r="B36" s="23"/>
      <c r="C36" s="24">
        <f>'SC_Loop 1'!C36</f>
        <v>2.9999999999999997E-4</v>
      </c>
      <c r="D36" s="68">
        <f t="shared" si="3"/>
        <v>0</v>
      </c>
      <c r="E36" s="233">
        <f>B36*'System Calculation'!$I$14</f>
        <v>0</v>
      </c>
      <c r="F36" s="24">
        <f>'SC_Loop 1'!F36</f>
        <v>3.0000000000000001E-3</v>
      </c>
      <c r="G36" s="68">
        <f t="shared" si="4"/>
        <v>0</v>
      </c>
      <c r="H36" s="60"/>
      <c r="I36" s="60"/>
      <c r="J36" s="60">
        <f t="shared" si="6"/>
        <v>0</v>
      </c>
      <c r="K36" s="60"/>
      <c r="L36" s="123" t="str">
        <f>IF(J36&lt;&gt;0,4*J36," ")</f>
        <v xml:space="preserve"> </v>
      </c>
      <c r="N36" s="41" t="str">
        <f>IF(AND(B36&gt;0,B36&lt;5),CONCATENATE("Info: External 24V needed. Control Panel could provide from 24Vaux, if 500mA maximum current isn't exceeded. Current requested from device(s) = ",D36,"mA."),IF(B36=0," ",IF(OR(B36=5,B36&gt;5),CONCATENATE("Warning: External 24V PSU is mandatory. Current requested from devices = ",D36,"mA.")," ")))</f>
        <v xml:space="preserve"> </v>
      </c>
    </row>
    <row r="37" spans="1:14" x14ac:dyDescent="0.25">
      <c r="A37" s="22" t="str">
        <f>'SC_Loop 1'!A37</f>
        <v>MAD-425-I</v>
      </c>
      <c r="B37" s="23"/>
      <c r="C37" s="24">
        <f>'SC_Loop 1'!C37</f>
        <v>2.9999999999999997E-4</v>
      </c>
      <c r="D37" s="68">
        <f t="shared" si="3"/>
        <v>0</v>
      </c>
      <c r="E37" s="233">
        <f>B37*'System Calculation'!$I$14</f>
        <v>0</v>
      </c>
      <c r="F37" s="24">
        <f>'SC_Loop 1'!F37</f>
        <v>3.0000000000000001E-3</v>
      </c>
      <c r="G37" s="68">
        <f t="shared" si="4"/>
        <v>0</v>
      </c>
      <c r="H37" s="60"/>
      <c r="I37" s="60"/>
      <c r="J37" s="60">
        <f t="shared" si="6"/>
        <v>0</v>
      </c>
      <c r="K37" s="60"/>
      <c r="L37" s="123" t="str">
        <f>IF(J37&lt;&gt;0,10*J37," ")</f>
        <v xml:space="preserve"> </v>
      </c>
      <c r="N37" s="41" t="str">
        <f t="shared" ref="N37:N42" si="7">IF(AND(B37&gt;0),"Info: External 24V needed. Control Panel could provide from 24Vaux, if 500mA maximum current isn't exceeded."," ")</f>
        <v xml:space="preserve"> </v>
      </c>
    </row>
    <row r="38" spans="1:14" x14ac:dyDescent="0.25">
      <c r="A38" s="22" t="str">
        <f>'SC_Loop 1'!A38</f>
        <v>MAD-429-I</v>
      </c>
      <c r="B38" s="23"/>
      <c r="C38" s="24">
        <f>'SC_Loop 1'!C38</f>
        <v>2.9999999999999997E-4</v>
      </c>
      <c r="D38" s="68">
        <f t="shared" si="3"/>
        <v>0</v>
      </c>
      <c r="E38" s="233">
        <f>B38*'System Calculation'!$I$14</f>
        <v>0</v>
      </c>
      <c r="F38" s="24">
        <f>'SC_Loop 1'!F38</f>
        <v>3.0000000000000001E-3</v>
      </c>
      <c r="G38" s="68">
        <f t="shared" si="4"/>
        <v>0</v>
      </c>
      <c r="H38" s="60"/>
      <c r="I38" s="60"/>
      <c r="J38" s="60">
        <f t="shared" si="6"/>
        <v>0</v>
      </c>
      <c r="K38" s="60"/>
      <c r="L38" s="123" t="str">
        <f>IF(J38&lt;&gt;0,20*J38," ")</f>
        <v xml:space="preserve"> </v>
      </c>
      <c r="N38" s="41" t="str">
        <f t="shared" si="7"/>
        <v xml:space="preserve"> </v>
      </c>
    </row>
    <row r="39" spans="1:14" x14ac:dyDescent="0.25">
      <c r="A39" s="22" t="str">
        <f>'SC_Loop 1'!A39</f>
        <v>MAD-431 &amp; MAD-431-I</v>
      </c>
      <c r="B39" s="23"/>
      <c r="C39" s="24">
        <f>'SC_Loop 1'!C39</f>
        <v>2.9999999999999997E-4</v>
      </c>
      <c r="D39" s="68">
        <f t="shared" si="3"/>
        <v>0</v>
      </c>
      <c r="E39" s="233">
        <f>B39*'System Calculation'!$I$14</f>
        <v>0</v>
      </c>
      <c r="F39" s="24">
        <f>'SC_Loop 1'!F39</f>
        <v>3.0000000000000001E-3</v>
      </c>
      <c r="G39" s="68">
        <f t="shared" si="4"/>
        <v>0</v>
      </c>
      <c r="H39" s="60"/>
      <c r="I39" s="60"/>
      <c r="J39" s="60" t="str">
        <f>IF(B39&lt;&gt;0,B39," ")</f>
        <v xml:space="preserve"> </v>
      </c>
      <c r="K39" s="60"/>
      <c r="L39" s="123" t="str">
        <f>IF(J39&lt;&gt;0,J39," ")</f>
        <v xml:space="preserve"> </v>
      </c>
      <c r="N39" s="41" t="str">
        <f t="shared" si="7"/>
        <v xml:space="preserve"> </v>
      </c>
    </row>
    <row r="40" spans="1:14" x14ac:dyDescent="0.25">
      <c r="A40" s="22" t="str">
        <f>'SC_Loop 1'!A40</f>
        <v>MAD-432 &amp; MAD-432-I</v>
      </c>
      <c r="B40" s="23"/>
      <c r="C40" s="24">
        <f>'SC_Loop 1'!C40</f>
        <v>2.9999999999999997E-4</v>
      </c>
      <c r="D40" s="68">
        <f t="shared" si="3"/>
        <v>0</v>
      </c>
      <c r="E40" s="233">
        <f>B40*'System Calculation'!$I$14</f>
        <v>0</v>
      </c>
      <c r="F40" s="24">
        <f>'SC_Loop 1'!F40</f>
        <v>3.0000000000000001E-3</v>
      </c>
      <c r="G40" s="68">
        <f t="shared" si="4"/>
        <v>0</v>
      </c>
      <c r="H40" s="60"/>
      <c r="I40" s="60"/>
      <c r="J40" s="60">
        <f>IF(B40&lt;&gt;0,B40,0)</f>
        <v>0</v>
      </c>
      <c r="K40" s="60"/>
      <c r="L40" s="123" t="str">
        <f>IF(J40&lt;&gt;0,2*J40," ")</f>
        <v xml:space="preserve"> </v>
      </c>
      <c r="N40" s="41" t="str">
        <f t="shared" si="7"/>
        <v xml:space="preserve"> </v>
      </c>
    </row>
    <row r="41" spans="1:14" x14ac:dyDescent="0.25">
      <c r="A41" s="22" t="str">
        <f>'SC_Loop 1'!A41</f>
        <v>MAD-441 &amp; MAD-441-I</v>
      </c>
      <c r="B41" s="23"/>
      <c r="C41" s="24">
        <f>'SC_Loop 1'!C41</f>
        <v>2.9999999999999997E-4</v>
      </c>
      <c r="D41" s="68">
        <f t="shared" si="3"/>
        <v>0</v>
      </c>
      <c r="E41" s="233">
        <f>B41*'System Calculation'!$I$14</f>
        <v>0</v>
      </c>
      <c r="F41" s="24">
        <f>'SC_Loop 1'!F41</f>
        <v>3.0000000000000001E-3</v>
      </c>
      <c r="G41" s="68">
        <f t="shared" si="4"/>
        <v>0</v>
      </c>
      <c r="H41" s="60"/>
      <c r="I41" s="60"/>
      <c r="J41" s="60" t="str">
        <f>IF(B41&lt;&gt;0,B41," ")</f>
        <v xml:space="preserve"> </v>
      </c>
      <c r="K41" s="60"/>
      <c r="L41" s="123" t="str">
        <f>IF(J41&lt;&gt;0,J41," ")</f>
        <v xml:space="preserve"> </v>
      </c>
      <c r="N41" s="41" t="str">
        <f t="shared" si="7"/>
        <v xml:space="preserve"> </v>
      </c>
    </row>
    <row r="42" spans="1:14" x14ac:dyDescent="0.25">
      <c r="A42" s="22" t="str">
        <f>'SC_Loop 1'!A42</f>
        <v>MAD-442 &amp; MAD-442-I</v>
      </c>
      <c r="B42" s="23"/>
      <c r="C42" s="24">
        <f>'SC_Loop 1'!C42</f>
        <v>2.9999999999999997E-4</v>
      </c>
      <c r="D42" s="68">
        <f t="shared" si="3"/>
        <v>0</v>
      </c>
      <c r="E42" s="233">
        <f>B42*'System Calculation'!$I$14</f>
        <v>0</v>
      </c>
      <c r="F42" s="24">
        <f>'SC_Loop 1'!F42</f>
        <v>3.0000000000000001E-3</v>
      </c>
      <c r="G42" s="68">
        <f t="shared" si="4"/>
        <v>0</v>
      </c>
      <c r="H42" s="60"/>
      <c r="I42" s="60"/>
      <c r="J42" s="60">
        <f>IF(B42&lt;&gt;0,B42,0)</f>
        <v>0</v>
      </c>
      <c r="K42" s="60"/>
      <c r="L42" s="123" t="str">
        <f>IF(J42&lt;&gt;0,2*J42," ")</f>
        <v xml:space="preserve"> </v>
      </c>
      <c r="N42" s="41" t="str">
        <f t="shared" si="7"/>
        <v xml:space="preserve"> </v>
      </c>
    </row>
    <row r="43" spans="1:14" x14ac:dyDescent="0.25">
      <c r="A43" s="22" t="str">
        <f>'SC_Loop 1'!A43</f>
        <v>MAD-450 &amp; MAD-450-I</v>
      </c>
      <c r="B43" s="23"/>
      <c r="C43" s="24">
        <f>'SC_Loop 1'!C43</f>
        <v>2.9999999999999997E-4</v>
      </c>
      <c r="D43" s="68">
        <f t="shared" si="3"/>
        <v>0</v>
      </c>
      <c r="E43" s="233">
        <f>B43*'System Calculation'!$I$12</f>
        <v>0</v>
      </c>
      <c r="F43" s="24">
        <f>'SC_Loop 1'!F43</f>
        <v>3.0000000000000001E-3</v>
      </c>
      <c r="G43" s="68">
        <f t="shared" si="4"/>
        <v>0</v>
      </c>
      <c r="H43" s="60"/>
      <c r="I43" s="59"/>
      <c r="J43" s="60"/>
      <c r="K43" s="60"/>
      <c r="L43" s="123" t="str">
        <f>IF(B43&lt;&gt;0,B43," ")</f>
        <v xml:space="preserve"> </v>
      </c>
      <c r="N43" s="11"/>
    </row>
    <row r="44" spans="1:14" x14ac:dyDescent="0.25">
      <c r="A44" s="22" t="str">
        <f>'SC_Loop 1'!A44</f>
        <v>MAD-451-I</v>
      </c>
      <c r="B44" s="23"/>
      <c r="C44" s="24">
        <f>'SC_Loop 1'!C44</f>
        <v>2.9999999999999997E-4</v>
      </c>
      <c r="D44" s="68">
        <f t="shared" si="3"/>
        <v>0</v>
      </c>
      <c r="E44" s="233">
        <f>B44*'System Calculation'!$I$12</f>
        <v>0</v>
      </c>
      <c r="F44" s="24">
        <f>'SC_Loop 1'!F44</f>
        <v>3.0000000000000001E-3</v>
      </c>
      <c r="G44" s="68">
        <f t="shared" si="4"/>
        <v>0</v>
      </c>
      <c r="H44" s="60"/>
      <c r="I44" s="60"/>
      <c r="J44" s="60"/>
      <c r="K44" s="60"/>
      <c r="L44" s="123" t="str">
        <f>IF(B44&lt;&gt;0,B44," ")</f>
        <v xml:space="preserve"> </v>
      </c>
    </row>
    <row r="45" spans="1:14" x14ac:dyDescent="0.25">
      <c r="A45" s="22" t="str">
        <f>'SC_Loop 1'!A45</f>
        <v>MAD-461-I</v>
      </c>
      <c r="B45" s="23"/>
      <c r="C45" s="24">
        <f>'SC_Loop 1'!C45</f>
        <v>2.9999999999999997E-4</v>
      </c>
      <c r="D45" s="68">
        <f t="shared" si="3"/>
        <v>0</v>
      </c>
      <c r="E45" s="233">
        <f>B45*'System Calculation'!$I$13</f>
        <v>0</v>
      </c>
      <c r="F45" s="24">
        <f>'SC_Loop 1'!F45</f>
        <v>8.9999999999999993E-3</v>
      </c>
      <c r="G45" s="68">
        <f>E45*F45</f>
        <v>0</v>
      </c>
      <c r="H45" s="60" t="str">
        <f>IF(B45*G45=0," ",G45)</f>
        <v xml:space="preserve"> </v>
      </c>
      <c r="I45" s="60"/>
      <c r="J45" s="60"/>
      <c r="K45" s="60" t="str">
        <f t="shared" ref="K45:K53" si="8">IF(B45&lt;&gt;0,B45," ")</f>
        <v xml:space="preserve"> </v>
      </c>
      <c r="L45" s="123" t="str">
        <f>IF(K45&lt;&gt;0,K45," ")</f>
        <v xml:space="preserve"> </v>
      </c>
    </row>
    <row r="46" spans="1:14" x14ac:dyDescent="0.25">
      <c r="A46" s="22" t="str">
        <f>'SC_Loop 1'!A46</f>
        <v>MAD-464-I Low vol. (78 dB)</v>
      </c>
      <c r="B46" s="23"/>
      <c r="C46" s="24">
        <f>'SC_Loop 1'!C46</f>
        <v>2.9999999999999997E-4</v>
      </c>
      <c r="D46" s="68">
        <f t="shared" si="3"/>
        <v>0</v>
      </c>
      <c r="E46" s="233">
        <f>B46*'System Calculation'!$I$13</f>
        <v>0</v>
      </c>
      <c r="F46" s="24">
        <f>'SC_Loop 1'!F46</f>
        <v>6.4999999999999997E-3</v>
      </c>
      <c r="G46" s="68">
        <f t="shared" ref="G46:G51" si="9">E46*F46</f>
        <v>0</v>
      </c>
      <c r="H46" s="60" t="str">
        <f t="shared" ref="H46:H53" si="10">IF(B46*G46=0," ",G46)</f>
        <v xml:space="preserve"> </v>
      </c>
      <c r="I46" s="60"/>
      <c r="J46" s="60"/>
      <c r="K46" s="60" t="str">
        <f t="shared" si="8"/>
        <v xml:space="preserve"> </v>
      </c>
      <c r="L46" s="123" t="str">
        <f t="shared" ref="L46:L53" si="11">IF(K46&lt;&gt;0,K46," ")</f>
        <v xml:space="preserve"> </v>
      </c>
    </row>
    <row r="47" spans="1:14" x14ac:dyDescent="0.25">
      <c r="A47" s="22" t="str">
        <f>'SC_Loop 1'!A47</f>
        <v>MAD-464-I Medium vol. (93 dB)</v>
      </c>
      <c r="B47" s="23"/>
      <c r="C47" s="24">
        <f>'SC_Loop 1'!C47</f>
        <v>2.9999999999999997E-4</v>
      </c>
      <c r="D47" s="68">
        <f t="shared" si="3"/>
        <v>0</v>
      </c>
      <c r="E47" s="233">
        <f>B47*'System Calculation'!$I$13</f>
        <v>0</v>
      </c>
      <c r="F47" s="24">
        <f>'SC_Loop 1'!F47</f>
        <v>9.7000000000000003E-3</v>
      </c>
      <c r="G47" s="68">
        <f t="shared" si="9"/>
        <v>0</v>
      </c>
      <c r="H47" s="60" t="str">
        <f t="shared" si="10"/>
        <v xml:space="preserve"> </v>
      </c>
      <c r="I47" s="60"/>
      <c r="J47" s="60"/>
      <c r="K47" s="60" t="str">
        <f t="shared" si="8"/>
        <v xml:space="preserve"> </v>
      </c>
      <c r="L47" s="123" t="str">
        <f t="shared" si="11"/>
        <v xml:space="preserve"> </v>
      </c>
    </row>
    <row r="48" spans="1:14" x14ac:dyDescent="0.25">
      <c r="A48" s="22" t="str">
        <f>'SC_Loop 1'!A48</f>
        <v>MAD-464-I High vol. (97 dB)</v>
      </c>
      <c r="B48" s="23"/>
      <c r="C48" s="24">
        <f>'SC_Loop 1'!C48</f>
        <v>2.9999999999999997E-4</v>
      </c>
      <c r="D48" s="68">
        <f t="shared" si="3"/>
        <v>0</v>
      </c>
      <c r="E48" s="233">
        <f>B48*'System Calculation'!$I$13</f>
        <v>0</v>
      </c>
      <c r="F48" s="24">
        <f>'SC_Loop 1'!F48</f>
        <v>1.2999999999999999E-2</v>
      </c>
      <c r="G48" s="68">
        <f t="shared" si="9"/>
        <v>0</v>
      </c>
      <c r="H48" s="60" t="str">
        <f t="shared" si="10"/>
        <v xml:space="preserve"> </v>
      </c>
      <c r="I48" s="60"/>
      <c r="J48" s="60"/>
      <c r="K48" s="60" t="str">
        <f t="shared" si="8"/>
        <v xml:space="preserve"> </v>
      </c>
      <c r="L48" s="123" t="str">
        <f t="shared" si="11"/>
        <v xml:space="preserve"> </v>
      </c>
    </row>
    <row r="49" spans="1:14" x14ac:dyDescent="0.25">
      <c r="A49" s="22" t="str">
        <f>'SC_Loop 1'!A49</f>
        <v>MAD-465-I Low vol. (78 dB)</v>
      </c>
      <c r="B49" s="23"/>
      <c r="C49" s="24">
        <f>'SC_Loop 1'!C49</f>
        <v>2.9999999999999997E-4</v>
      </c>
      <c r="D49" s="68">
        <f t="shared" si="3"/>
        <v>0</v>
      </c>
      <c r="E49" s="233">
        <f>B49*'System Calculation'!$I$13</f>
        <v>0</v>
      </c>
      <c r="F49" s="24">
        <f>'SC_Loop 1'!F49</f>
        <v>6.4999999999999997E-3</v>
      </c>
      <c r="G49" s="68">
        <f t="shared" si="9"/>
        <v>0</v>
      </c>
      <c r="H49" s="60" t="str">
        <f t="shared" si="10"/>
        <v xml:space="preserve"> </v>
      </c>
      <c r="I49" s="60"/>
      <c r="J49" s="60"/>
      <c r="K49" s="60" t="str">
        <f t="shared" si="8"/>
        <v xml:space="preserve"> </v>
      </c>
      <c r="L49" s="123" t="str">
        <f t="shared" si="11"/>
        <v xml:space="preserve"> </v>
      </c>
    </row>
    <row r="50" spans="1:14" x14ac:dyDescent="0.25">
      <c r="A50" s="22" t="str">
        <f>'SC_Loop 1'!A50</f>
        <v>MAD-465-I Medium vol. (93 dB)</v>
      </c>
      <c r="B50" s="23"/>
      <c r="C50" s="24">
        <f>'SC_Loop 1'!C50</f>
        <v>2.9999999999999997E-4</v>
      </c>
      <c r="D50" s="68">
        <f t="shared" si="3"/>
        <v>0</v>
      </c>
      <c r="E50" s="233">
        <f>B50*'System Calculation'!$I$13</f>
        <v>0</v>
      </c>
      <c r="F50" s="24">
        <f>'SC_Loop 1'!F50</f>
        <v>9.7000000000000003E-3</v>
      </c>
      <c r="G50" s="68">
        <f t="shared" si="9"/>
        <v>0</v>
      </c>
      <c r="H50" s="60" t="str">
        <f t="shared" si="10"/>
        <v xml:space="preserve"> </v>
      </c>
      <c r="I50" s="60"/>
      <c r="J50" s="60"/>
      <c r="K50" s="60" t="str">
        <f t="shared" si="8"/>
        <v xml:space="preserve"> </v>
      </c>
      <c r="L50" s="123" t="str">
        <f t="shared" si="11"/>
        <v xml:space="preserve"> </v>
      </c>
    </row>
    <row r="51" spans="1:14" x14ac:dyDescent="0.25">
      <c r="A51" s="22" t="str">
        <f>'SC_Loop 1'!A51</f>
        <v>MAD-465-I High vol. (97 dB)</v>
      </c>
      <c r="B51" s="23"/>
      <c r="C51" s="24">
        <f>'SC_Loop 1'!C51</f>
        <v>2.9999999999999997E-4</v>
      </c>
      <c r="D51" s="68">
        <f t="shared" si="3"/>
        <v>0</v>
      </c>
      <c r="E51" s="233">
        <f>B51*'System Calculation'!$I$13</f>
        <v>0</v>
      </c>
      <c r="F51" s="24">
        <f>'SC_Loop 1'!F51</f>
        <v>1.2999999999999999E-2</v>
      </c>
      <c r="G51" s="68">
        <f t="shared" si="9"/>
        <v>0</v>
      </c>
      <c r="H51" s="60" t="str">
        <f t="shared" si="10"/>
        <v xml:space="preserve"> </v>
      </c>
      <c r="I51" s="60"/>
      <c r="J51" s="60"/>
      <c r="K51" s="60" t="str">
        <f t="shared" si="8"/>
        <v xml:space="preserve"> </v>
      </c>
      <c r="L51" s="123" t="str">
        <f t="shared" si="11"/>
        <v xml:space="preserve"> </v>
      </c>
    </row>
    <row r="52" spans="1:14" x14ac:dyDescent="0.25">
      <c r="A52" s="22" t="str">
        <f>'SC_Loop 1'!A52</f>
        <v>MAD-472</v>
      </c>
      <c r="B52" s="23"/>
      <c r="C52" s="24">
        <f>'SC_Loop 1'!C52</f>
        <v>3.5E-4</v>
      </c>
      <c r="D52" s="68">
        <f>B52*C52</f>
        <v>0</v>
      </c>
      <c r="E52" s="233">
        <f>B52*'System Calculation'!$I$13</f>
        <v>0</v>
      </c>
      <c r="F52" s="24">
        <f>'SC_Loop 1'!F52</f>
        <v>1.4E-2</v>
      </c>
      <c r="G52" s="68">
        <f t="shared" si="4"/>
        <v>0</v>
      </c>
      <c r="H52" s="60" t="str">
        <f t="shared" si="10"/>
        <v xml:space="preserve"> </v>
      </c>
      <c r="I52" s="60"/>
      <c r="J52" s="60"/>
      <c r="K52" s="60" t="str">
        <f t="shared" si="8"/>
        <v xml:space="preserve"> </v>
      </c>
      <c r="L52" s="123" t="str">
        <f t="shared" si="11"/>
        <v xml:space="preserve"> </v>
      </c>
    </row>
    <row r="53" spans="1:14" x14ac:dyDescent="0.25">
      <c r="A53" s="22" t="str">
        <f>'SC_Loop 1'!A53</f>
        <v>MAD-473</v>
      </c>
      <c r="B53" s="23"/>
      <c r="C53" s="24">
        <f>'SC_Loop 1'!C53</f>
        <v>3.5E-4</v>
      </c>
      <c r="D53" s="68">
        <f t="shared" si="3"/>
        <v>0</v>
      </c>
      <c r="E53" s="233">
        <f>B53*'System Calculation'!$I$13</f>
        <v>0</v>
      </c>
      <c r="F53" s="24">
        <f>'SC_Loop 1'!F53</f>
        <v>1.4999999999999999E-2</v>
      </c>
      <c r="G53" s="68">
        <f t="shared" si="4"/>
        <v>0</v>
      </c>
      <c r="H53" s="60" t="str">
        <f t="shared" si="10"/>
        <v xml:space="preserve"> </v>
      </c>
      <c r="I53" s="60"/>
      <c r="J53" s="60"/>
      <c r="K53" s="60" t="str">
        <f t="shared" si="8"/>
        <v xml:space="preserve"> </v>
      </c>
      <c r="L53" s="123" t="str">
        <f t="shared" si="11"/>
        <v xml:space="preserve"> </v>
      </c>
    </row>
    <row r="54" spans="1:14" x14ac:dyDescent="0.25">
      <c r="A54" s="22" t="str">
        <f>'SC_Loop 1'!A54</f>
        <v>MAD-481</v>
      </c>
      <c r="B54" s="23"/>
      <c r="C54" s="24">
        <f>'SC_Loop 1'!C54</f>
        <v>2.9999999999999997E-4</v>
      </c>
      <c r="D54" s="68">
        <f t="shared" si="3"/>
        <v>0</v>
      </c>
      <c r="E54" s="233">
        <f>B54*'System Calculation'!$I$14</f>
        <v>0</v>
      </c>
      <c r="F54" s="24">
        <f>'SC_Loop 1'!F54</f>
        <v>3.0000000000000001E-3</v>
      </c>
      <c r="G54" s="68">
        <f t="shared" si="4"/>
        <v>0</v>
      </c>
      <c r="H54" s="60"/>
      <c r="I54" s="60"/>
      <c r="J54" s="60" t="str">
        <f>IF(B54&lt;&gt;0,B54," ")</f>
        <v xml:space="preserve"> </v>
      </c>
      <c r="K54" s="60"/>
      <c r="L54" s="123" t="str">
        <f>IF(J54&lt;&gt;0,J54," ")</f>
        <v xml:space="preserve"> </v>
      </c>
      <c r="N54" s="41"/>
    </row>
    <row r="55" spans="1:14" x14ac:dyDescent="0.25">
      <c r="A55" s="22" t="str">
        <f>'SC_Loop 1'!A55</f>
        <v>MAD-490</v>
      </c>
      <c r="B55" s="23"/>
      <c r="C55" s="24">
        <f>'SC_Loop 1'!C55</f>
        <v>2.9999999999999997E-4</v>
      </c>
      <c r="D55" s="68">
        <f t="shared" si="3"/>
        <v>0</v>
      </c>
      <c r="E55" s="233"/>
      <c r="F55" s="24">
        <f>'SC_Loop 1'!F55</f>
        <v>0.05</v>
      </c>
      <c r="G55" s="68">
        <f t="shared" si="4"/>
        <v>0</v>
      </c>
      <c r="H55" s="60"/>
      <c r="I55" s="60"/>
      <c r="J55" s="60"/>
      <c r="K55" s="60"/>
      <c r="L55" s="123"/>
    </row>
    <row r="56" spans="1:14" x14ac:dyDescent="0.25">
      <c r="A56" s="22" t="str">
        <f>'SC_Loop 1'!A56</f>
        <v>PAD-10</v>
      </c>
      <c r="B56" s="23"/>
      <c r="C56" s="24">
        <f>'SC_Loop 1'!C56</f>
        <v>6.2500000000000001E-4</v>
      </c>
      <c r="D56" s="68">
        <f t="shared" si="3"/>
        <v>0</v>
      </c>
      <c r="E56" s="233">
        <f>IF(B56&gt;10,10,B56)</f>
        <v>0</v>
      </c>
      <c r="F56" s="24">
        <f>'SC_Loop 1'!F56</f>
        <v>5.0000000000000001E-3</v>
      </c>
      <c r="G56" s="68">
        <f t="shared" si="4"/>
        <v>0</v>
      </c>
      <c r="H56" s="60"/>
      <c r="I56" s="60"/>
      <c r="J56" s="60"/>
      <c r="K56" s="60"/>
      <c r="L56" s="123"/>
    </row>
    <row r="57" spans="1:14" x14ac:dyDescent="0.25">
      <c r="A57" s="22" t="str">
        <f>'SC_Loop 1'!A57</f>
        <v>PAD-10A-I</v>
      </c>
      <c r="B57" s="23"/>
      <c r="C57" s="24">
        <f>'SC_Loop 1'!C57</f>
        <v>1.85E-4</v>
      </c>
      <c r="D57" s="68">
        <f t="shared" si="3"/>
        <v>0</v>
      </c>
      <c r="E57" s="233">
        <f>IF(B57&gt;10,10,B57)</f>
        <v>0</v>
      </c>
      <c r="F57" s="24">
        <f>'SC_Loop 1'!F57</f>
        <v>4.0000000000000001E-3</v>
      </c>
      <c r="G57" s="68">
        <f t="shared" si="4"/>
        <v>0</v>
      </c>
      <c r="H57" s="60"/>
      <c r="I57" s="60"/>
      <c r="J57" s="60"/>
      <c r="K57" s="60"/>
      <c r="L57" s="123"/>
    </row>
    <row r="58" spans="1:14" x14ac:dyDescent="0.25">
      <c r="A58" s="22" t="str">
        <f>'SC_Loop 1'!A58</f>
        <v>TPLD-100 (CCD-102) = 3 loop address</v>
      </c>
      <c r="B58" s="23"/>
      <c r="C58" s="24">
        <f>'SC_Loop 1'!C58</f>
        <v>2.9999999999999997E-4</v>
      </c>
      <c r="D58" s="68">
        <f t="shared" si="3"/>
        <v>0</v>
      </c>
      <c r="E58" s="233"/>
      <c r="F58" s="24">
        <f>'SC_Loop 1'!F58</f>
        <v>3.0000000000000001E-3</v>
      </c>
      <c r="G58" s="68">
        <f t="shared" si="4"/>
        <v>0</v>
      </c>
      <c r="H58" s="60"/>
      <c r="I58" s="60"/>
      <c r="J58" s="60"/>
      <c r="K58" s="60"/>
      <c r="L58" s="123" t="str">
        <f>IF(B58&lt;&gt;0,3*B58," ")</f>
        <v xml:space="preserve"> </v>
      </c>
    </row>
    <row r="59" spans="1:14" x14ac:dyDescent="0.25">
      <c r="A59" s="22" t="str">
        <f>'SC_Loop 1'!A59</f>
        <v>TPLD-100 (CCD-104) = 5 loop address</v>
      </c>
      <c r="B59" s="23"/>
      <c r="C59" s="24">
        <f>'SC_Loop 1'!C59</f>
        <v>2.9999999999999997E-4</v>
      </c>
      <c r="D59" s="68">
        <f t="shared" si="3"/>
        <v>0</v>
      </c>
      <c r="E59" s="233"/>
      <c r="F59" s="24">
        <f>'SC_Loop 1'!F59</f>
        <v>3.0000000000000001E-3</v>
      </c>
      <c r="G59" s="68">
        <f t="shared" si="4"/>
        <v>0</v>
      </c>
      <c r="H59" s="60"/>
      <c r="I59" s="60"/>
      <c r="J59" s="60"/>
      <c r="K59" s="60"/>
      <c r="L59" s="123" t="str">
        <f>IF(B59&lt;&gt;0,5*B59," ")</f>
        <v xml:space="preserve"> </v>
      </c>
    </row>
    <row r="60" spans="1:14" x14ac:dyDescent="0.25">
      <c r="A60" s="22" t="str">
        <f>'SC_Loop 1'!A60</f>
        <v>TPLD-100 (CCD-108) = 9 loop address</v>
      </c>
      <c r="B60" s="23"/>
      <c r="C60" s="24">
        <f>'SC_Loop 1'!C60</f>
        <v>2.9999999999999997E-4</v>
      </c>
      <c r="D60" s="68">
        <f t="shared" si="3"/>
        <v>0</v>
      </c>
      <c r="E60" s="233"/>
      <c r="F60" s="24">
        <f>'SC_Loop 1'!F60</f>
        <v>3.0000000000000001E-3</v>
      </c>
      <c r="G60" s="68">
        <f t="shared" si="4"/>
        <v>0</v>
      </c>
      <c r="H60" s="60"/>
      <c r="I60" s="60"/>
      <c r="J60" s="60"/>
      <c r="K60" s="60"/>
      <c r="L60" s="123" t="str">
        <f>IF(B60&lt;&gt;0,9*B60," ")</f>
        <v xml:space="preserve"> </v>
      </c>
    </row>
    <row r="61" spans="1:14" x14ac:dyDescent="0.25">
      <c r="A61" s="22" t="str">
        <f>'SC_Loop 1'!A61</f>
        <v>TPLD-100 (CCD-112) = 13 loop address</v>
      </c>
      <c r="B61" s="23"/>
      <c r="C61" s="24">
        <f>'SC_Loop 1'!C61</f>
        <v>2.9999999999999997E-4</v>
      </c>
      <c r="D61" s="68">
        <f t="shared" si="3"/>
        <v>0</v>
      </c>
      <c r="E61" s="233"/>
      <c r="F61" s="24">
        <f>'SC_Loop 1'!F61</f>
        <v>3.0000000000000001E-3</v>
      </c>
      <c r="G61" s="68">
        <f t="shared" si="4"/>
        <v>0</v>
      </c>
      <c r="H61" s="60"/>
      <c r="I61" s="60"/>
      <c r="J61" s="60"/>
      <c r="K61" s="60"/>
      <c r="L61" s="123" t="str">
        <f>IF(B61&lt;&gt;0,13*B61," ")</f>
        <v xml:space="preserve"> </v>
      </c>
    </row>
    <row r="62" spans="1:14" ht="13.8" thickBot="1" x14ac:dyDescent="0.3">
      <c r="A62" s="126" t="str">
        <f>'SC_Loop 1'!A62</f>
        <v>TPLD-100 (CCD-103) = 7 loop address</v>
      </c>
      <c r="B62" s="127"/>
      <c r="C62" s="199">
        <f>'SC_Loop 1'!C62</f>
        <v>2.9999999999999997E-4</v>
      </c>
      <c r="D62" s="128">
        <f t="shared" si="3"/>
        <v>0</v>
      </c>
      <c r="E62" s="235"/>
      <c r="F62" s="199">
        <f>'SC_Loop 1'!F62</f>
        <v>3.0000000000000001E-3</v>
      </c>
      <c r="G62" s="128">
        <f t="shared" si="4"/>
        <v>0</v>
      </c>
      <c r="H62" s="50"/>
      <c r="I62" s="50"/>
      <c r="J62" s="50"/>
      <c r="K62" s="141"/>
      <c r="L62" s="129" t="str">
        <f>IF(B62&lt;&gt;0,7*B62," ")</f>
        <v xml:space="preserve"> </v>
      </c>
    </row>
    <row r="63" spans="1:14" s="7" customFormat="1" ht="13.8" thickBot="1" x14ac:dyDescent="0.3">
      <c r="A63" s="19" t="s">
        <v>8</v>
      </c>
      <c r="B63" s="73">
        <f>SUM(B15:B55)+SUM(L58:L62)</f>
        <v>0</v>
      </c>
      <c r="C63" s="20"/>
      <c r="D63" s="70">
        <f>SUM(D15:D62)</f>
        <v>0</v>
      </c>
      <c r="E63" s="72">
        <f>SUM(E15:E55)</f>
        <v>0</v>
      </c>
      <c r="F63" s="70"/>
      <c r="G63" s="70">
        <f>SUM(G15:G62)</f>
        <v>0</v>
      </c>
      <c r="H63" s="70">
        <f t="shared" ref="H63:L63" si="12">SUM(H15:H62)</f>
        <v>0</v>
      </c>
      <c r="I63" s="73">
        <f t="shared" si="12"/>
        <v>0</v>
      </c>
      <c r="J63" s="73">
        <f t="shared" si="12"/>
        <v>0</v>
      </c>
      <c r="K63" s="73">
        <f t="shared" si="12"/>
        <v>0</v>
      </c>
      <c r="L63" s="142">
        <f t="shared" si="12"/>
        <v>0</v>
      </c>
    </row>
    <row r="64" spans="1:14" s="7" customFormat="1" x14ac:dyDescent="0.25">
      <c r="A64" s="29"/>
      <c r="B64" s="119"/>
      <c r="C64" s="120"/>
      <c r="D64" s="121"/>
      <c r="E64" s="122"/>
      <c r="F64" s="121"/>
      <c r="G64" s="121"/>
      <c r="H64" s="121"/>
      <c r="I64" s="121"/>
      <c r="J64" s="121"/>
      <c r="K64" s="119"/>
      <c r="L64" s="119"/>
    </row>
    <row r="65" spans="1:12" ht="14.4" customHeight="1" thickBot="1" x14ac:dyDescent="0.3">
      <c r="E65" s="32"/>
      <c r="K65" s="150" t="str">
        <f>IF($L$63&gt;250,"Error: The Loop cannot contain more than 250 addresses","")</f>
        <v/>
      </c>
    </row>
    <row r="66" spans="1:12" ht="14.4" customHeight="1" thickBot="1" x14ac:dyDescent="0.3">
      <c r="A66" s="19" t="s">
        <v>137</v>
      </c>
      <c r="B66" s="130"/>
      <c r="C66" s="130"/>
      <c r="D66" s="131"/>
      <c r="E66" s="32"/>
    </row>
    <row r="67" spans="1:12" ht="14.4" customHeight="1" x14ac:dyDescent="0.25">
      <c r="A67" s="111" t="s">
        <v>138</v>
      </c>
      <c r="B67" s="139">
        <v>1.72E-2</v>
      </c>
      <c r="C67" s="52"/>
      <c r="D67" s="134" t="s">
        <v>139</v>
      </c>
      <c r="E67" s="32"/>
    </row>
    <row r="68" spans="1:12" ht="14.4" customHeight="1" x14ac:dyDescent="0.25">
      <c r="A68" s="39" t="s">
        <v>140</v>
      </c>
      <c r="B68" s="137">
        <f>D63</f>
        <v>0</v>
      </c>
      <c r="C68" s="60"/>
      <c r="D68" s="109" t="s">
        <v>9</v>
      </c>
      <c r="E68" s="32"/>
    </row>
    <row r="69" spans="1:12" ht="14.4" customHeight="1" x14ac:dyDescent="0.25">
      <c r="A69" s="39" t="s">
        <v>141</v>
      </c>
      <c r="B69" s="137">
        <f>G63-H63</f>
        <v>0</v>
      </c>
      <c r="C69" s="60"/>
      <c r="D69" s="109" t="s">
        <v>9</v>
      </c>
      <c r="E69" s="32"/>
    </row>
    <row r="70" spans="1:12" ht="14.4" customHeight="1" x14ac:dyDescent="0.25">
      <c r="A70" s="39" t="s">
        <v>142</v>
      </c>
      <c r="B70" s="137">
        <f>H63</f>
        <v>0</v>
      </c>
      <c r="C70" s="60"/>
      <c r="D70" s="109" t="s">
        <v>9</v>
      </c>
      <c r="E70" s="32"/>
    </row>
    <row r="71" spans="1:12" ht="14.4" customHeight="1" x14ac:dyDescent="0.25">
      <c r="A71" s="39" t="s">
        <v>143</v>
      </c>
      <c r="B71" s="137">
        <f>SUM(B68:B70)</f>
        <v>0</v>
      </c>
      <c r="C71" s="60"/>
      <c r="D71" s="109" t="s">
        <v>9</v>
      </c>
      <c r="E71" s="32"/>
    </row>
    <row r="72" spans="1:12" ht="14.4" customHeight="1" thickBot="1" x14ac:dyDescent="0.3">
      <c r="A72" s="140" t="s">
        <v>144</v>
      </c>
      <c r="B72" s="124">
        <v>6.9</v>
      </c>
      <c r="C72" s="124"/>
      <c r="D72" s="34" t="s">
        <v>145</v>
      </c>
      <c r="E72" s="32"/>
    </row>
    <row r="73" spans="1:12" ht="14.4" customHeight="1" thickBot="1" x14ac:dyDescent="0.3">
      <c r="A73" s="17"/>
      <c r="E73" s="32"/>
    </row>
    <row r="74" spans="1:12" ht="14.4" customHeight="1" thickBot="1" x14ac:dyDescent="0.3">
      <c r="A74" s="8" t="s">
        <v>155</v>
      </c>
      <c r="B74" s="147"/>
      <c r="C74" s="147"/>
      <c r="D74" s="147"/>
      <c r="E74" s="162"/>
      <c r="F74" s="147"/>
      <c r="G74" s="147"/>
      <c r="H74" s="147"/>
      <c r="I74" s="147"/>
      <c r="J74" s="147"/>
      <c r="K74" s="148"/>
      <c r="L74" s="151" t="s">
        <v>151</v>
      </c>
    </row>
    <row r="75" spans="1:12" ht="14.4" customHeight="1" x14ac:dyDescent="0.25">
      <c r="A75" s="169" t="s">
        <v>156</v>
      </c>
      <c r="B75" s="52">
        <v>1000</v>
      </c>
      <c r="C75" s="52"/>
      <c r="D75" s="52">
        <v>1500</v>
      </c>
      <c r="E75" s="161"/>
      <c r="F75" s="52"/>
      <c r="G75" s="52">
        <v>2000</v>
      </c>
      <c r="H75" s="52">
        <v>2500</v>
      </c>
      <c r="I75" s="52">
        <v>3000</v>
      </c>
      <c r="J75" s="165">
        <v>3500</v>
      </c>
      <c r="K75" s="152" t="s">
        <v>152</v>
      </c>
    </row>
    <row r="76" spans="1:12" ht="14.4" customHeight="1" x14ac:dyDescent="0.25">
      <c r="A76" s="138" t="s">
        <v>157</v>
      </c>
      <c r="B76" s="154" t="e">
        <f>((($B$67*B75)/B78)*2)</f>
        <v>#DIV/0!</v>
      </c>
      <c r="C76" s="154" t="e">
        <f t="shared" ref="C76:J76" si="13">((($B$67*C75)/C78)*2)</f>
        <v>#DIV/0!</v>
      </c>
      <c r="D76" s="154" t="e">
        <f t="shared" si="13"/>
        <v>#DIV/0!</v>
      </c>
      <c r="E76" s="154" t="e">
        <f t="shared" si="13"/>
        <v>#DIV/0!</v>
      </c>
      <c r="F76" s="154" t="e">
        <f t="shared" si="13"/>
        <v>#DIV/0!</v>
      </c>
      <c r="G76" s="154" t="e">
        <f t="shared" si="13"/>
        <v>#DIV/0!</v>
      </c>
      <c r="H76" s="154" t="e">
        <f t="shared" si="13"/>
        <v>#DIV/0!</v>
      </c>
      <c r="I76" s="154" t="e">
        <f t="shared" si="13"/>
        <v>#DIV/0!</v>
      </c>
      <c r="J76" s="154" t="e">
        <f t="shared" si="13"/>
        <v>#DIV/0!</v>
      </c>
      <c r="K76" s="153" t="s">
        <v>153</v>
      </c>
    </row>
    <row r="77" spans="1:12" ht="14.4" customHeight="1" thickBot="1" x14ac:dyDescent="0.3">
      <c r="A77" s="168" t="s">
        <v>158</v>
      </c>
      <c r="B77" s="154" t="e">
        <f>B76/2</f>
        <v>#DIV/0!</v>
      </c>
      <c r="C77" s="154" t="e">
        <f t="shared" ref="C77:G77" si="14">C76/2</f>
        <v>#DIV/0!</v>
      </c>
      <c r="D77" s="154" t="e">
        <f t="shared" si="14"/>
        <v>#DIV/0!</v>
      </c>
      <c r="E77" s="154" t="e">
        <f t="shared" si="14"/>
        <v>#DIV/0!</v>
      </c>
      <c r="F77" s="154" t="e">
        <f t="shared" si="14"/>
        <v>#DIV/0!</v>
      </c>
      <c r="G77" s="154" t="e">
        <f t="shared" si="14"/>
        <v>#DIV/0!</v>
      </c>
      <c r="H77" s="154" t="e">
        <f>H76/2</f>
        <v>#DIV/0!</v>
      </c>
      <c r="I77" s="154" t="e">
        <f>I76/2</f>
        <v>#DIV/0!</v>
      </c>
      <c r="J77" s="154" t="e">
        <f>J76/2</f>
        <v>#DIV/0!</v>
      </c>
      <c r="K77" s="167" t="s">
        <v>153</v>
      </c>
    </row>
    <row r="78" spans="1:12" ht="14.4" customHeight="1" thickBot="1" x14ac:dyDescent="0.3">
      <c r="A78" s="19" t="s">
        <v>159</v>
      </c>
      <c r="B78" s="194" t="e">
        <f t="shared" ref="B78:J78" si="15">IF((($B$67*B$75)/(($B$72-((SUM($B$16,$B$18,$B$20,$B$22)*0.155)*$B$71))/$B$71))&lt;0.5,0.5,(($B$67*B$75)/(($B$72-((SUM($B$16,$B$18,$B$20,$B$22)*0.155)*$B$71))/$B$71)))</f>
        <v>#DIV/0!</v>
      </c>
      <c r="C78" s="194" t="e">
        <f t="shared" si="15"/>
        <v>#DIV/0!</v>
      </c>
      <c r="D78" s="194" t="e">
        <f t="shared" si="15"/>
        <v>#DIV/0!</v>
      </c>
      <c r="E78" s="194" t="e">
        <f t="shared" si="15"/>
        <v>#DIV/0!</v>
      </c>
      <c r="F78" s="194" t="e">
        <f t="shared" si="15"/>
        <v>#DIV/0!</v>
      </c>
      <c r="G78" s="194" t="e">
        <f t="shared" si="15"/>
        <v>#DIV/0!</v>
      </c>
      <c r="H78" s="194" t="e">
        <f t="shared" si="15"/>
        <v>#DIV/0!</v>
      </c>
      <c r="I78" s="194" t="e">
        <f t="shared" si="15"/>
        <v>#DIV/0!</v>
      </c>
      <c r="J78" s="194" t="e">
        <f t="shared" si="15"/>
        <v>#DIV/0!</v>
      </c>
      <c r="K78" s="108" t="s">
        <v>131</v>
      </c>
    </row>
    <row r="79" spans="1:12" ht="14.4" customHeight="1" thickBot="1" x14ac:dyDescent="0.3">
      <c r="A79" s="17"/>
      <c r="E79" s="32"/>
    </row>
    <row r="80" spans="1:12" ht="14.4" customHeight="1" thickBot="1" x14ac:dyDescent="0.3">
      <c r="A80" s="8" t="s">
        <v>160</v>
      </c>
      <c r="B80" s="147"/>
      <c r="C80" s="147"/>
      <c r="D80" s="147"/>
      <c r="E80" s="162"/>
      <c r="F80" s="147"/>
      <c r="G80" s="147"/>
      <c r="H80" s="147"/>
      <c r="I80" s="147"/>
      <c r="J80" s="147"/>
      <c r="K80" s="148"/>
      <c r="L80" s="151" t="s">
        <v>154</v>
      </c>
    </row>
    <row r="81" spans="1:11" ht="14.4" customHeight="1" x14ac:dyDescent="0.25">
      <c r="A81" s="163" t="s">
        <v>161</v>
      </c>
      <c r="B81" s="48">
        <v>0.5</v>
      </c>
      <c r="C81" s="52"/>
      <c r="D81" s="52">
        <v>0.75</v>
      </c>
      <c r="E81" s="161"/>
      <c r="F81" s="52"/>
      <c r="G81" s="52">
        <v>1</v>
      </c>
      <c r="H81" s="52">
        <v>1.5</v>
      </c>
      <c r="I81" s="52">
        <v>2.5</v>
      </c>
      <c r="J81" s="165">
        <v>4</v>
      </c>
      <c r="K81" s="152" t="s">
        <v>131</v>
      </c>
    </row>
    <row r="82" spans="1:11" ht="14.4" customHeight="1" x14ac:dyDescent="0.25">
      <c r="A82" s="164" t="s">
        <v>157</v>
      </c>
      <c r="B82" s="154" t="e">
        <f t="shared" ref="B82:J82" si="16">$B$67*B84/B81*2</f>
        <v>#DIV/0!</v>
      </c>
      <c r="C82" s="154" t="e">
        <f t="shared" si="16"/>
        <v>#DIV/0!</v>
      </c>
      <c r="D82" s="154" t="e">
        <f t="shared" si="16"/>
        <v>#DIV/0!</v>
      </c>
      <c r="E82" s="154" t="e">
        <f t="shared" si="16"/>
        <v>#DIV/0!</v>
      </c>
      <c r="F82" s="154" t="e">
        <f t="shared" si="16"/>
        <v>#DIV/0!</v>
      </c>
      <c r="G82" s="154" t="e">
        <f t="shared" si="16"/>
        <v>#DIV/0!</v>
      </c>
      <c r="H82" s="154" t="e">
        <f t="shared" si="16"/>
        <v>#DIV/0!</v>
      </c>
      <c r="I82" s="154" t="e">
        <f t="shared" si="16"/>
        <v>#DIV/0!</v>
      </c>
      <c r="J82" s="154" t="e">
        <f t="shared" si="16"/>
        <v>#DIV/0!</v>
      </c>
      <c r="K82" s="153" t="s">
        <v>153</v>
      </c>
    </row>
    <row r="83" spans="1:11" ht="14.4" customHeight="1" thickBot="1" x14ac:dyDescent="0.3">
      <c r="A83" s="166" t="s">
        <v>158</v>
      </c>
      <c r="B83" s="154" t="e">
        <f>B82/2</f>
        <v>#DIV/0!</v>
      </c>
      <c r="C83" s="154" t="e">
        <f t="shared" ref="C83:G83" si="17">C82/2</f>
        <v>#DIV/0!</v>
      </c>
      <c r="D83" s="154" t="e">
        <f t="shared" si="17"/>
        <v>#DIV/0!</v>
      </c>
      <c r="E83" s="154" t="e">
        <f t="shared" si="17"/>
        <v>#DIV/0!</v>
      </c>
      <c r="F83" s="154" t="e">
        <f t="shared" si="17"/>
        <v>#DIV/0!</v>
      </c>
      <c r="G83" s="154" t="e">
        <f t="shared" si="17"/>
        <v>#DIV/0!</v>
      </c>
      <c r="H83" s="154" t="e">
        <f>H82/2</f>
        <v>#DIV/0!</v>
      </c>
      <c r="I83" s="154" t="e">
        <f>I82/2</f>
        <v>#DIV/0!</v>
      </c>
      <c r="J83" s="154" t="e">
        <f>J82/2</f>
        <v>#DIV/0!</v>
      </c>
      <c r="K83" s="167" t="s">
        <v>153</v>
      </c>
    </row>
    <row r="84" spans="1:11" ht="14.4" customHeight="1" thickBot="1" x14ac:dyDescent="0.3">
      <c r="A84" s="108" t="s">
        <v>162</v>
      </c>
      <c r="B84" s="194" t="e">
        <f t="shared" ref="B84:J84" si="18">IF((((($B$72-((SUM($B$16,$B$18,$B$20,$B$22)*0.155)*$B$71))/$B$71)*B$81)/$B$67)&gt;3500,3500,(((($B$72-((SUM($B$16,$B$18,$B$20,$B$22)*0.155)*$B$71))/$B$71)*B$81)/$B$67))</f>
        <v>#DIV/0!</v>
      </c>
      <c r="C84" s="194" t="e">
        <f t="shared" si="18"/>
        <v>#DIV/0!</v>
      </c>
      <c r="D84" s="194" t="e">
        <f t="shared" si="18"/>
        <v>#DIV/0!</v>
      </c>
      <c r="E84" s="194" t="e">
        <f t="shared" si="18"/>
        <v>#DIV/0!</v>
      </c>
      <c r="F84" s="194" t="e">
        <f t="shared" si="18"/>
        <v>#DIV/0!</v>
      </c>
      <c r="G84" s="194" t="e">
        <f t="shared" si="18"/>
        <v>#DIV/0!</v>
      </c>
      <c r="H84" s="194" t="e">
        <f t="shared" si="18"/>
        <v>#DIV/0!</v>
      </c>
      <c r="I84" s="194" t="e">
        <f t="shared" si="18"/>
        <v>#DIV/0!</v>
      </c>
      <c r="J84" s="194" t="e">
        <f t="shared" si="18"/>
        <v>#DIV/0!</v>
      </c>
      <c r="K84" s="108" t="s">
        <v>152</v>
      </c>
    </row>
    <row r="85" spans="1:11" ht="14.4" customHeight="1" thickBot="1" x14ac:dyDescent="0.3">
      <c r="A85" s="17"/>
      <c r="E85" s="32"/>
    </row>
    <row r="86" spans="1:11" ht="14.4" customHeight="1" thickBot="1" x14ac:dyDescent="0.3">
      <c r="A86" s="8" t="s">
        <v>163</v>
      </c>
      <c r="B86" s="147"/>
      <c r="C86" s="147"/>
      <c r="D86" s="148"/>
      <c r="E86" s="32"/>
    </row>
    <row r="87" spans="1:11" ht="14.4" customHeight="1" x14ac:dyDescent="0.25">
      <c r="A87" s="158" t="s">
        <v>164</v>
      </c>
      <c r="B87" s="52">
        <f>$B$8</f>
        <v>1.5</v>
      </c>
      <c r="C87" s="52"/>
      <c r="D87" s="114" t="s">
        <v>131</v>
      </c>
      <c r="E87" s="32"/>
      <c r="H87" s="150" t="str">
        <f>IF(B87&lt;0.5,"Error: The Minimum Cable Seccion in the Loop is 0,5 mm2","")</f>
        <v/>
      </c>
    </row>
    <row r="88" spans="1:11" ht="14.4" customHeight="1" x14ac:dyDescent="0.25">
      <c r="A88" s="39" t="s">
        <v>165</v>
      </c>
      <c r="B88" s="60">
        <f>$B$9</f>
        <v>2000</v>
      </c>
      <c r="C88" s="60"/>
      <c r="D88" s="109" t="s">
        <v>131</v>
      </c>
      <c r="E88" s="32"/>
      <c r="H88" s="150" t="str">
        <f>IF(B88&gt;3500,"Error: The Maximum Lenght in the Line is 3500 meters","")</f>
        <v/>
      </c>
    </row>
    <row r="89" spans="1:11" ht="14.4" customHeight="1" x14ac:dyDescent="0.25">
      <c r="A89" s="39" t="s">
        <v>166</v>
      </c>
      <c r="B89" s="156">
        <f>((($B$67*B88)/B87)*2)+(SUM(B16,B18,B20,B22,)*0.155)</f>
        <v>45.866666666666667</v>
      </c>
      <c r="C89" s="60"/>
      <c r="D89" s="123" t="s">
        <v>153</v>
      </c>
      <c r="E89" s="32"/>
    </row>
    <row r="90" spans="1:11" ht="14.4" customHeight="1" thickBot="1" x14ac:dyDescent="0.3">
      <c r="A90" s="140" t="s">
        <v>167</v>
      </c>
      <c r="B90" s="155">
        <f>B89/2</f>
        <v>22.933333333333334</v>
      </c>
      <c r="C90" s="124"/>
      <c r="D90" s="125" t="s">
        <v>153</v>
      </c>
      <c r="E90" s="32"/>
    </row>
    <row r="91" spans="1:11" ht="14.4" customHeight="1" thickBot="1" x14ac:dyDescent="0.3">
      <c r="A91" s="170" t="s">
        <v>168</v>
      </c>
      <c r="B91" s="172">
        <f>$B$72/$B$90</f>
        <v>0.30087209302325585</v>
      </c>
      <c r="C91" s="171"/>
      <c r="D91" s="173" t="s">
        <v>9</v>
      </c>
      <c r="E91" s="32"/>
    </row>
    <row r="92" spans="1:11" ht="14.4" customHeight="1" thickBot="1" x14ac:dyDescent="0.3">
      <c r="A92" s="160" t="s">
        <v>134</v>
      </c>
      <c r="B92" s="147"/>
      <c r="C92" s="147"/>
      <c r="D92" s="148"/>
      <c r="E92" s="32"/>
    </row>
    <row r="93" spans="1:11" ht="14.4" customHeight="1" thickBot="1" x14ac:dyDescent="0.3">
      <c r="A93" s="160" t="s">
        <v>135</v>
      </c>
      <c r="B93" s="148"/>
      <c r="C93" s="11"/>
      <c r="D93" s="159" t="str">
        <f>IF($B$71&gt;0.4,"FAIL",IF($B$91&gt;=$B$71,"OK","FAIL"))</f>
        <v>OK</v>
      </c>
      <c r="E93" s="32"/>
      <c r="H93" s="150" t="str">
        <f>IF($B$71&gt;0.4,"Error: The Loop Current is upper that Maximum Current allowed",IF($B$91&lt;$B$71,"Error: The Loop Current is upper that Maximum Current allowed",""))</f>
        <v/>
      </c>
    </row>
    <row r="94" spans="1:11" ht="14.4" customHeight="1" thickBot="1" x14ac:dyDescent="0.3">
      <c r="A94" s="160" t="s">
        <v>136</v>
      </c>
      <c r="B94" s="148"/>
      <c r="C94" s="136"/>
      <c r="D94" s="157" t="str">
        <f>IF($L$63&lt;=250,"OK","FAIL")</f>
        <v>OK</v>
      </c>
      <c r="E94" s="32"/>
      <c r="H94" s="150" t="str">
        <f>IF($L$63&gt;250,"Error: The Loop cannot contain more than 250 addresses","")</f>
        <v/>
      </c>
    </row>
    <row r="95" spans="1:11" ht="14.4" customHeight="1" x14ac:dyDescent="0.25">
      <c r="A95" s="17"/>
      <c r="E95" s="32"/>
    </row>
    <row r="97" spans="1:12" ht="27" customHeight="1" x14ac:dyDescent="0.25">
      <c r="A97" s="238" t="s">
        <v>13</v>
      </c>
      <c r="B97" s="238"/>
      <c r="C97" s="238"/>
      <c r="D97" s="238"/>
      <c r="E97" s="238"/>
      <c r="F97" s="238"/>
      <c r="G97" s="238"/>
      <c r="H97" s="238"/>
      <c r="I97" s="238"/>
      <c r="J97" s="238"/>
      <c r="K97" s="238"/>
      <c r="L97" s="238"/>
    </row>
  </sheetData>
  <sheetProtection algorithmName="SHA-512" hashValue="9SXPW5hw05vrwbLG28tlyXEkv3qUoCuX1iVSPJKBb4v2BmlFWbIhBsdU2pT8tPK6d+4NNaysgH3SW0dj4g+7Yw==" saltValue="oJfhg1PWZbjU9bATSaAgZg==" spinCount="100000" sheet="1" sort="0" autoFilter="0" pivotTables="0"/>
  <mergeCells count="5">
    <mergeCell ref="J7:K7"/>
    <mergeCell ref="G8:I9"/>
    <mergeCell ref="J8:K8"/>
    <mergeCell ref="J9:K9"/>
    <mergeCell ref="A97:L97"/>
  </mergeCells>
  <conditionalFormatting sqref="I43 N39:N42">
    <cfRule type="expression" dxfId="103" priority="24" stopIfTrue="1">
      <formula>$B$38&gt;2</formula>
    </cfRule>
    <cfRule type="expression" dxfId="102" priority="25" stopIfTrue="1">
      <formula>$B$38&lt;3</formula>
    </cfRule>
  </conditionalFormatting>
  <conditionalFormatting sqref="N35:N36">
    <cfRule type="expression" dxfId="101" priority="22" stopIfTrue="1">
      <formula>$B$37&gt;4</formula>
    </cfRule>
    <cfRule type="expression" dxfId="100" priority="23" stopIfTrue="1">
      <formula>$B$37&lt;5</formula>
    </cfRule>
  </conditionalFormatting>
  <conditionalFormatting sqref="N33">
    <cfRule type="expression" dxfId="99" priority="20" stopIfTrue="1">
      <formula>$B$38&gt;2</formula>
    </cfRule>
    <cfRule type="expression" dxfId="98" priority="21" stopIfTrue="1">
      <formula>$B$38&lt;3</formula>
    </cfRule>
  </conditionalFormatting>
  <conditionalFormatting sqref="N34">
    <cfRule type="expression" dxfId="97" priority="18" stopIfTrue="1">
      <formula>$B$38&gt;2</formula>
    </cfRule>
    <cfRule type="expression" dxfId="96" priority="19" stopIfTrue="1">
      <formula>$B$38&lt;3</formula>
    </cfRule>
  </conditionalFormatting>
  <conditionalFormatting sqref="N38">
    <cfRule type="expression" dxfId="95" priority="14" stopIfTrue="1">
      <formula>$B$38&gt;2</formula>
    </cfRule>
    <cfRule type="expression" dxfId="94" priority="15" stopIfTrue="1">
      <formula>$B$38&lt;3</formula>
    </cfRule>
  </conditionalFormatting>
  <conditionalFormatting sqref="N37">
    <cfRule type="expression" dxfId="93" priority="16" stopIfTrue="1">
      <formula>$B$38&gt;2</formula>
    </cfRule>
    <cfRule type="expression" dxfId="92" priority="17" stopIfTrue="1">
      <formula>$B$38&lt;3</formula>
    </cfRule>
  </conditionalFormatting>
  <conditionalFormatting sqref="J15:J45 J52:J62">
    <cfRule type="cellIs" dxfId="91" priority="13" operator="equal">
      <formula>0</formula>
    </cfRule>
  </conditionalFormatting>
  <conditionalFormatting sqref="L9">
    <cfRule type="cellIs" dxfId="90" priority="9" stopIfTrue="1" operator="equal">
      <formula>"FAIL"</formula>
    </cfRule>
  </conditionalFormatting>
  <conditionalFormatting sqref="D93">
    <cfRule type="cellIs" dxfId="89" priority="12" stopIfTrue="1" operator="equal">
      <formula>"FAIL"</formula>
    </cfRule>
  </conditionalFormatting>
  <conditionalFormatting sqref="D94">
    <cfRule type="cellIs" dxfId="88" priority="11" stopIfTrue="1" operator="equal">
      <formula>"FAIL"</formula>
    </cfRule>
  </conditionalFormatting>
  <conditionalFormatting sqref="L8">
    <cfRule type="cellIs" dxfId="87" priority="10" stopIfTrue="1" operator="equal">
      <formula>"FAIL"</formula>
    </cfRule>
  </conditionalFormatting>
  <conditionalFormatting sqref="B76:J77">
    <cfRule type="containsErrors" dxfId="86" priority="8">
      <formula>ISERROR(B76)</formula>
    </cfRule>
  </conditionalFormatting>
  <conditionalFormatting sqref="B82:J83">
    <cfRule type="containsErrors" dxfId="85" priority="7">
      <formula>ISERROR(B82)</formula>
    </cfRule>
  </conditionalFormatting>
  <conditionalFormatting sqref="B78">
    <cfRule type="containsErrors" dxfId="84" priority="26">
      <formula>ISERROR(B78)</formula>
    </cfRule>
  </conditionalFormatting>
  <conditionalFormatting sqref="D78:J78">
    <cfRule type="containsErrors" dxfId="83" priority="6">
      <formula>ISERROR(D78)</formula>
    </cfRule>
  </conditionalFormatting>
  <conditionalFormatting sqref="B84">
    <cfRule type="containsErrors" dxfId="82" priority="5">
      <formula>ISERROR(B84)</formula>
    </cfRule>
  </conditionalFormatting>
  <conditionalFormatting sqref="D84:J84">
    <cfRule type="containsErrors" dxfId="81" priority="4">
      <formula>ISERROR(D84)</formula>
    </cfRule>
  </conditionalFormatting>
  <conditionalFormatting sqref="N54">
    <cfRule type="expression" dxfId="80" priority="2" stopIfTrue="1">
      <formula>$B$37&gt;4</formula>
    </cfRule>
    <cfRule type="expression" dxfId="79" priority="3" stopIfTrue="1">
      <formula>$B$37&lt;5</formula>
    </cfRule>
  </conditionalFormatting>
  <conditionalFormatting sqref="J46:J51">
    <cfRule type="cellIs" dxfId="78" priority="1" operator="equal">
      <formula>0</formula>
    </cfRule>
  </conditionalFormatting>
  <pageMargins left="0.78740157480314965" right="0.39370078740157483" top="0.39370078740157483" bottom="0.39370078740157483" header="0" footer="0"/>
  <pageSetup paperSize="9" scale="87" orientation="portrait" horizontalDpi="1200" verticalDpi="12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1111B29-5C5C-4328-B92A-7162C9CB2105}">
          <x14:formula1>
            <xm:f>Datos!$F$16:$F$20</xm:f>
          </x14:formula1>
          <xm:sqref>B8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E75A2-D470-4DA9-820A-A08F2ABA68F7}">
  <sheetPr codeName="Hoja8">
    <pageSetUpPr fitToPage="1"/>
  </sheetPr>
  <dimension ref="A1:N97"/>
  <sheetViews>
    <sheetView zoomScale="120" zoomScaleNormal="120" workbookViewId="0">
      <pane xSplit="12" ySplit="14" topLeftCell="M15" activePane="bottomRight" state="frozen"/>
      <selection activeCell="A64" sqref="A64"/>
      <selection pane="topRight" activeCell="A64" sqref="A64"/>
      <selection pane="bottomLeft" activeCell="A64" sqref="A64"/>
      <selection pane="bottomRight" activeCell="D16" sqref="D16"/>
    </sheetView>
  </sheetViews>
  <sheetFormatPr baseColWidth="10" defaultRowHeight="13.2" x14ac:dyDescent="0.25"/>
  <cols>
    <col min="1" max="1" width="35.109375" customWidth="1"/>
    <col min="2" max="2" width="10.6640625" customWidth="1"/>
    <col min="3" max="3" width="11.109375" hidden="1" customWidth="1"/>
    <col min="4" max="4" width="12.77734375" bestFit="1" customWidth="1"/>
    <col min="5" max="6" width="10.6640625" hidden="1" customWidth="1"/>
    <col min="7" max="7" width="10.5546875" bestFit="1" customWidth="1"/>
    <col min="8" max="8" width="10.6640625" customWidth="1"/>
    <col min="9" max="9" width="5.5546875" bestFit="1" customWidth="1"/>
    <col min="10" max="10" width="7" customWidth="1"/>
    <col min="11" max="11" width="6.44140625" customWidth="1"/>
    <col min="12" max="12" width="6.5546875" customWidth="1"/>
    <col min="14" max="16" width="11.5546875" customWidth="1"/>
  </cols>
  <sheetData>
    <row r="1" spans="1:14" x14ac:dyDescent="0.25">
      <c r="H1" s="1"/>
      <c r="I1" s="2"/>
      <c r="J1" s="2"/>
      <c r="K1" s="2"/>
    </row>
    <row r="2" spans="1:14" x14ac:dyDescent="0.25">
      <c r="H2" s="1"/>
      <c r="I2" s="2"/>
      <c r="J2" s="2"/>
      <c r="K2" s="2"/>
    </row>
    <row r="3" spans="1:14" ht="14.4" x14ac:dyDescent="0.3">
      <c r="A3" s="3"/>
      <c r="H3" s="1"/>
      <c r="I3" s="2"/>
      <c r="J3" s="2"/>
      <c r="K3" s="2"/>
    </row>
    <row r="4" spans="1:14" ht="14.4" x14ac:dyDescent="0.3">
      <c r="A4" s="3"/>
      <c r="H4" s="1"/>
      <c r="I4" s="2"/>
      <c r="J4" s="2"/>
      <c r="K4" s="2"/>
    </row>
    <row r="5" spans="1:14" s="7" customFormat="1" ht="13.8" thickBot="1" x14ac:dyDescent="0.3">
      <c r="A5" s="4" t="str">
        <f>'System Calculation'!A7</f>
        <v>SYSTEM CALCULATOR DETNOV CAD-150 EXCEL TOOL</v>
      </c>
      <c r="B5" s="4"/>
      <c r="C5" s="4"/>
      <c r="D5" s="4"/>
      <c r="E5" s="4"/>
      <c r="F5" s="4"/>
      <c r="G5" s="4"/>
      <c r="H5" s="6"/>
      <c r="I5" s="5"/>
      <c r="J5" s="5"/>
      <c r="K5" s="5"/>
      <c r="L5" s="16" t="str">
        <f>'System Calculation'!J7</f>
        <v>SC 116 en 2019 f</v>
      </c>
    </row>
    <row r="6" spans="1:14" s="7" customFormat="1" ht="13.8" thickBot="1" x14ac:dyDescent="0.3">
      <c r="B6" s="29"/>
      <c r="C6" s="29"/>
      <c r="D6" s="29"/>
      <c r="E6" s="29"/>
      <c r="F6" s="29"/>
      <c r="G6" s="29"/>
      <c r="H6" s="36"/>
      <c r="I6" s="37"/>
      <c r="J6" s="37"/>
      <c r="K6" s="37"/>
      <c r="L6" s="38"/>
    </row>
    <row r="7" spans="1:14" s="7" customFormat="1" ht="13.8" thickBot="1" x14ac:dyDescent="0.3">
      <c r="A7" s="19" t="s">
        <v>62</v>
      </c>
      <c r="B7" s="115"/>
      <c r="C7" s="115"/>
      <c r="D7" s="116"/>
      <c r="E7" s="29"/>
      <c r="F7" s="29"/>
      <c r="G7" s="29"/>
      <c r="H7" s="36"/>
      <c r="J7" s="239" t="s">
        <v>134</v>
      </c>
      <c r="K7" s="243"/>
      <c r="L7" s="135"/>
      <c r="M7" s="38"/>
    </row>
    <row r="8" spans="1:14" s="7" customFormat="1" ht="13.8" thickBot="1" x14ac:dyDescent="0.3">
      <c r="A8" s="111" t="s">
        <v>129</v>
      </c>
      <c r="B8" s="117">
        <v>1.5</v>
      </c>
      <c r="C8" s="113"/>
      <c r="D8" s="114" t="s">
        <v>131</v>
      </c>
      <c r="E8" s="29"/>
      <c r="F8" s="29"/>
      <c r="G8" s="244" t="str">
        <f>IF(B9&gt;3500,"Error: The Maximum Lenght in the Line is 3500 m","")</f>
        <v/>
      </c>
      <c r="H8" s="244"/>
      <c r="I8" s="245"/>
      <c r="J8" s="239" t="s">
        <v>135</v>
      </c>
      <c r="K8" s="240"/>
      <c r="L8" s="159" t="str">
        <f>IF($B$71&gt;0.4,"FAIL",IF($B$91&gt;=$B$71,"OK","FAIL"))</f>
        <v>OK</v>
      </c>
      <c r="N8" s="150" t="str">
        <f>IF($B$71&gt;0.4,"Error: The Loop Current is upper that Maximum Current allowed",IF($B$91&lt;$B$71,"Error: The Loop Current is upper that Maximum Current allowed",""))</f>
        <v/>
      </c>
    </row>
    <row r="9" spans="1:14" s="7" customFormat="1" ht="13.8" thickBot="1" x14ac:dyDescent="0.3">
      <c r="A9" s="26" t="s">
        <v>130</v>
      </c>
      <c r="B9" s="118">
        <v>2000</v>
      </c>
      <c r="C9" s="110"/>
      <c r="D9" s="34" t="s">
        <v>132</v>
      </c>
      <c r="E9" s="29"/>
      <c r="F9" s="29"/>
      <c r="G9" s="244"/>
      <c r="H9" s="244"/>
      <c r="I9" s="245"/>
      <c r="J9" s="241" t="s">
        <v>136</v>
      </c>
      <c r="K9" s="242"/>
      <c r="L9" s="157" t="str">
        <f>IF($L$63&lt;=250,"OK","FAIL")</f>
        <v>OK</v>
      </c>
      <c r="N9" s="150" t="str">
        <f>IF($L$63&gt;250,"Error: The Loop cannot contain more than 250 addresses","")</f>
        <v/>
      </c>
    </row>
    <row r="10" spans="1:14" s="7" customFormat="1" x14ac:dyDescent="0.25">
      <c r="A10" s="149" t="s">
        <v>150</v>
      </c>
      <c r="B10" s="29"/>
      <c r="C10" s="29"/>
      <c r="D10" s="29"/>
      <c r="E10" s="29"/>
      <c r="F10" s="29"/>
      <c r="G10" s="29"/>
      <c r="H10" s="36"/>
      <c r="I10" s="37"/>
      <c r="J10" s="37"/>
      <c r="K10" s="37"/>
      <c r="L10" s="38"/>
    </row>
    <row r="11" spans="1:14" s="7" customFormat="1" x14ac:dyDescent="0.25">
      <c r="A11" s="149"/>
      <c r="B11" s="29"/>
      <c r="C11" s="29"/>
      <c r="D11" s="29"/>
      <c r="E11" s="29"/>
      <c r="F11" s="29"/>
      <c r="G11" s="29"/>
      <c r="H11" s="36"/>
      <c r="I11" s="37"/>
      <c r="J11" s="37"/>
      <c r="K11" s="37"/>
      <c r="L11" s="38"/>
    </row>
    <row r="12" spans="1:14" ht="13.8" thickBot="1" x14ac:dyDescent="0.3">
      <c r="B12" s="40" t="s">
        <v>10</v>
      </c>
      <c r="C12" s="15" t="s">
        <v>10</v>
      </c>
    </row>
    <row r="13" spans="1:14" ht="13.8" thickBot="1" x14ac:dyDescent="0.3">
      <c r="A13" s="8" t="s">
        <v>177</v>
      </c>
      <c r="B13" s="9"/>
      <c r="C13" s="9"/>
      <c r="D13" s="9"/>
      <c r="E13" s="9"/>
      <c r="F13" s="9"/>
      <c r="G13" s="9"/>
      <c r="H13" s="147"/>
      <c r="I13" s="147"/>
      <c r="J13" s="147"/>
      <c r="K13" s="147"/>
      <c r="L13" s="148"/>
    </row>
    <row r="14" spans="1:14" s="7" customFormat="1" ht="13.8" thickBot="1" x14ac:dyDescent="0.3">
      <c r="A14" s="143" t="s">
        <v>0</v>
      </c>
      <c r="B14" s="144" t="s">
        <v>1</v>
      </c>
      <c r="C14" s="144" t="s">
        <v>38</v>
      </c>
      <c r="D14" s="144" t="s">
        <v>38</v>
      </c>
      <c r="E14" s="144" t="s">
        <v>110</v>
      </c>
      <c r="F14" s="144" t="s">
        <v>39</v>
      </c>
      <c r="G14" s="144" t="s">
        <v>39</v>
      </c>
      <c r="H14" s="145" t="s">
        <v>133</v>
      </c>
      <c r="I14" s="145" t="s">
        <v>146</v>
      </c>
      <c r="J14" s="145" t="s">
        <v>147</v>
      </c>
      <c r="K14" s="145" t="s">
        <v>148</v>
      </c>
      <c r="L14" s="146" t="s">
        <v>149</v>
      </c>
    </row>
    <row r="15" spans="1:14" x14ac:dyDescent="0.25">
      <c r="A15" s="132" t="str">
        <f>'SC_Loop 1'!A15</f>
        <v>DOD-220A</v>
      </c>
      <c r="B15" s="112"/>
      <c r="C15" s="198">
        <f>'SC_Loop 1'!C15</f>
        <v>2.9999999999999997E-4</v>
      </c>
      <c r="D15" s="133">
        <f>B15*C15</f>
        <v>0</v>
      </c>
      <c r="E15" s="234">
        <f>IF(B15&gt;10,10,B15)</f>
        <v>0</v>
      </c>
      <c r="F15" s="198">
        <f>'SC_Loop 1'!F15</f>
        <v>3.0000000000000001E-3</v>
      </c>
      <c r="G15" s="133">
        <f>E15*F15</f>
        <v>0</v>
      </c>
      <c r="H15" s="52"/>
      <c r="I15" s="52" t="str">
        <f t="shared" ref="I15:I26" si="0">IF(B15&lt;&gt;0,B15," ")</f>
        <v xml:space="preserve"> </v>
      </c>
      <c r="J15" s="52"/>
      <c r="K15" s="52"/>
      <c r="L15" s="134" t="str">
        <f>IF(I15&lt;&gt;0,I15," ")</f>
        <v xml:space="preserve"> </v>
      </c>
    </row>
    <row r="16" spans="1:14" x14ac:dyDescent="0.25">
      <c r="A16" s="22" t="str">
        <f>'SC_Loop 1'!A16</f>
        <v>DOD-220A-I</v>
      </c>
      <c r="B16" s="23"/>
      <c r="C16" s="24">
        <f>'SC_Loop 1'!C16</f>
        <v>2.9999999999999997E-4</v>
      </c>
      <c r="D16" s="68">
        <f>B16*C16</f>
        <v>0</v>
      </c>
      <c r="E16" s="234">
        <f t="shared" ref="E16:E22" si="1">IF(B16&gt;10,10,B16)</f>
        <v>0</v>
      </c>
      <c r="F16" s="24">
        <f>'SC_Loop 1'!F16</f>
        <v>3.0000000000000001E-3</v>
      </c>
      <c r="G16" s="68">
        <f>E16*F16</f>
        <v>0</v>
      </c>
      <c r="H16" s="60"/>
      <c r="I16" s="60" t="str">
        <f t="shared" si="0"/>
        <v xml:space="preserve"> </v>
      </c>
      <c r="J16" s="60"/>
      <c r="K16" s="60"/>
      <c r="L16" s="123" t="str">
        <f t="shared" ref="L16:L26" si="2">IF(I16&lt;&gt;0,I16," ")</f>
        <v xml:space="preserve"> </v>
      </c>
    </row>
    <row r="17" spans="1:12" x14ac:dyDescent="0.25">
      <c r="A17" s="22" t="str">
        <f>'SC_Loop 1'!A17</f>
        <v>DOTD-230A</v>
      </c>
      <c r="B17" s="23"/>
      <c r="C17" s="24">
        <f>'SC_Loop 1'!C17</f>
        <v>2.9999999999999997E-4</v>
      </c>
      <c r="D17" s="68">
        <f t="shared" ref="D17:D62" si="3">B17*C17</f>
        <v>0</v>
      </c>
      <c r="E17" s="234">
        <f t="shared" si="1"/>
        <v>0</v>
      </c>
      <c r="F17" s="24">
        <f>'SC_Loop 1'!F17</f>
        <v>3.0000000000000001E-3</v>
      </c>
      <c r="G17" s="68">
        <f t="shared" ref="G17:G62" si="4">E17*F17</f>
        <v>0</v>
      </c>
      <c r="H17" s="60"/>
      <c r="I17" s="60" t="str">
        <f t="shared" si="0"/>
        <v xml:space="preserve"> </v>
      </c>
      <c r="J17" s="60"/>
      <c r="K17" s="60"/>
      <c r="L17" s="123" t="str">
        <f t="shared" si="2"/>
        <v xml:space="preserve"> </v>
      </c>
    </row>
    <row r="18" spans="1:12" x14ac:dyDescent="0.25">
      <c r="A18" s="22" t="str">
        <f>'SC_Loop 1'!A18</f>
        <v>DOTD-230A-I</v>
      </c>
      <c r="B18" s="23"/>
      <c r="C18" s="24">
        <f>'SC_Loop 1'!C18</f>
        <v>2.9999999999999997E-4</v>
      </c>
      <c r="D18" s="68">
        <f t="shared" si="3"/>
        <v>0</v>
      </c>
      <c r="E18" s="234">
        <f t="shared" si="1"/>
        <v>0</v>
      </c>
      <c r="F18" s="24">
        <f>'SC_Loop 1'!F18</f>
        <v>3.0000000000000001E-3</v>
      </c>
      <c r="G18" s="68">
        <f t="shared" si="4"/>
        <v>0</v>
      </c>
      <c r="H18" s="60"/>
      <c r="I18" s="60" t="str">
        <f t="shared" si="0"/>
        <v xml:space="preserve"> </v>
      </c>
      <c r="J18" s="60"/>
      <c r="K18" s="60"/>
      <c r="L18" s="123" t="str">
        <f t="shared" si="2"/>
        <v xml:space="preserve"> </v>
      </c>
    </row>
    <row r="19" spans="1:12" x14ac:dyDescent="0.25">
      <c r="A19" s="22" t="str">
        <f>'SC_Loop 1'!A19</f>
        <v>DTD-210A</v>
      </c>
      <c r="B19" s="23"/>
      <c r="C19" s="24">
        <f>'SC_Loop 1'!C19</f>
        <v>2.9999999999999997E-4</v>
      </c>
      <c r="D19" s="68">
        <f t="shared" si="3"/>
        <v>0</v>
      </c>
      <c r="E19" s="234">
        <f t="shared" si="1"/>
        <v>0</v>
      </c>
      <c r="F19" s="24">
        <f>'SC_Loop 1'!F19</f>
        <v>3.0000000000000001E-3</v>
      </c>
      <c r="G19" s="68">
        <f t="shared" si="4"/>
        <v>0</v>
      </c>
      <c r="H19" s="60"/>
      <c r="I19" s="60" t="str">
        <f t="shared" si="0"/>
        <v xml:space="preserve"> </v>
      </c>
      <c r="J19" s="60"/>
      <c r="K19" s="60"/>
      <c r="L19" s="123" t="str">
        <f t="shared" si="2"/>
        <v xml:space="preserve"> </v>
      </c>
    </row>
    <row r="20" spans="1:12" x14ac:dyDescent="0.25">
      <c r="A20" s="22" t="str">
        <f>'SC_Loop 1'!A20</f>
        <v>DTD-210A-I</v>
      </c>
      <c r="B20" s="23"/>
      <c r="C20" s="24">
        <f>'SC_Loop 1'!C20</f>
        <v>2.9999999999999997E-4</v>
      </c>
      <c r="D20" s="68">
        <f t="shared" si="3"/>
        <v>0</v>
      </c>
      <c r="E20" s="234">
        <f t="shared" si="1"/>
        <v>0</v>
      </c>
      <c r="F20" s="24">
        <f>'SC_Loop 1'!F20</f>
        <v>3.0000000000000001E-3</v>
      </c>
      <c r="G20" s="68">
        <f t="shared" si="4"/>
        <v>0</v>
      </c>
      <c r="H20" s="60"/>
      <c r="I20" s="60" t="str">
        <f t="shared" si="0"/>
        <v xml:space="preserve"> </v>
      </c>
      <c r="J20" s="60"/>
      <c r="K20" s="60"/>
      <c r="L20" s="123" t="str">
        <f t="shared" si="2"/>
        <v xml:space="preserve"> </v>
      </c>
    </row>
    <row r="21" spans="1:12" x14ac:dyDescent="0.25">
      <c r="A21" s="22" t="str">
        <f>'SC_Loop 1'!A21</f>
        <v>DTD-215A</v>
      </c>
      <c r="B21" s="23"/>
      <c r="C21" s="24">
        <f>'SC_Loop 1'!C21</f>
        <v>2.9999999999999997E-4</v>
      </c>
      <c r="D21" s="68">
        <f t="shared" si="3"/>
        <v>0</v>
      </c>
      <c r="E21" s="234">
        <f t="shared" si="1"/>
        <v>0</v>
      </c>
      <c r="F21" s="24">
        <f>'SC_Loop 1'!F21</f>
        <v>3.0000000000000001E-3</v>
      </c>
      <c r="G21" s="68">
        <f t="shared" si="4"/>
        <v>0</v>
      </c>
      <c r="H21" s="60"/>
      <c r="I21" s="60" t="str">
        <f t="shared" si="0"/>
        <v xml:space="preserve"> </v>
      </c>
      <c r="J21" s="60"/>
      <c r="K21" s="60"/>
      <c r="L21" s="123" t="str">
        <f t="shared" si="2"/>
        <v xml:space="preserve"> </v>
      </c>
    </row>
    <row r="22" spans="1:12" x14ac:dyDescent="0.25">
      <c r="A22" s="22" t="str">
        <f>'SC_Loop 1'!A22</f>
        <v>DTD-215A-I</v>
      </c>
      <c r="B22" s="23"/>
      <c r="C22" s="24">
        <f>'SC_Loop 1'!C22</f>
        <v>2.9999999999999997E-4</v>
      </c>
      <c r="D22" s="68">
        <f t="shared" si="3"/>
        <v>0</v>
      </c>
      <c r="E22" s="234">
        <f t="shared" si="1"/>
        <v>0</v>
      </c>
      <c r="F22" s="24">
        <f>'SC_Loop 1'!F22</f>
        <v>3.0000000000000001E-3</v>
      </c>
      <c r="G22" s="68">
        <f t="shared" si="4"/>
        <v>0</v>
      </c>
      <c r="H22" s="60"/>
      <c r="I22" s="60" t="str">
        <f t="shared" si="0"/>
        <v xml:space="preserve"> </v>
      </c>
      <c r="J22" s="60"/>
      <c r="K22" s="60"/>
      <c r="L22" s="123" t="str">
        <f t="shared" si="2"/>
        <v xml:space="preserve"> </v>
      </c>
    </row>
    <row r="23" spans="1:12" x14ac:dyDescent="0.25">
      <c r="A23" s="22" t="str">
        <f>'SC_Loop 1'!A23</f>
        <v>DGD-600</v>
      </c>
      <c r="B23" s="23"/>
      <c r="C23" s="24">
        <f>'SC_Loop 1'!C23</f>
        <v>9.1E-4</v>
      </c>
      <c r="D23" s="68">
        <f t="shared" si="3"/>
        <v>0</v>
      </c>
      <c r="E23" s="234">
        <f>IF(B23&gt;10,10,B23)</f>
        <v>0</v>
      </c>
      <c r="F23" s="24">
        <f>'SC_Loop 1'!F23</f>
        <v>1.1000000000000001E-3</v>
      </c>
      <c r="G23" s="68">
        <f t="shared" si="4"/>
        <v>0</v>
      </c>
      <c r="H23" s="60"/>
      <c r="I23" s="60" t="str">
        <f t="shared" si="0"/>
        <v xml:space="preserve"> </v>
      </c>
      <c r="J23" s="60"/>
      <c r="K23" s="60"/>
      <c r="L23" s="123" t="str">
        <f t="shared" si="2"/>
        <v xml:space="preserve"> </v>
      </c>
    </row>
    <row r="24" spans="1:12" x14ac:dyDescent="0.25">
      <c r="A24" s="22" t="str">
        <f>'SC_Loop 1'!A24</f>
        <v>DGD-600-AC</v>
      </c>
      <c r="B24" s="23"/>
      <c r="C24" s="24">
        <f>'SC_Loop 1'!C24</f>
        <v>9.1E-4</v>
      </c>
      <c r="D24" s="68">
        <f t="shared" si="3"/>
        <v>0</v>
      </c>
      <c r="E24" s="234">
        <f t="shared" ref="E24:E26" si="5">IF(B24&gt;10,10,B24)</f>
        <v>0</v>
      </c>
      <c r="F24" s="24">
        <f>'SC_Loop 1'!F24</f>
        <v>1.1000000000000001E-3</v>
      </c>
      <c r="G24" s="68">
        <f t="shared" si="4"/>
        <v>0</v>
      </c>
      <c r="H24" s="60"/>
      <c r="I24" s="60" t="str">
        <f t="shared" si="0"/>
        <v xml:space="preserve"> </v>
      </c>
      <c r="J24" s="60"/>
      <c r="K24" s="60"/>
      <c r="L24" s="123" t="str">
        <f t="shared" si="2"/>
        <v xml:space="preserve"> </v>
      </c>
    </row>
    <row r="25" spans="1:12" x14ac:dyDescent="0.25">
      <c r="A25" s="22" t="str">
        <f>'SC_Loop 1'!A25</f>
        <v>DGD-620</v>
      </c>
      <c r="B25" s="23"/>
      <c r="C25" s="24">
        <f>'SC_Loop 1'!C25</f>
        <v>9.1E-4</v>
      </c>
      <c r="D25" s="68">
        <f t="shared" si="3"/>
        <v>0</v>
      </c>
      <c r="E25" s="234">
        <f t="shared" si="5"/>
        <v>0</v>
      </c>
      <c r="F25" s="24">
        <f>'SC_Loop 1'!F25</f>
        <v>1.1000000000000001E-3</v>
      </c>
      <c r="G25" s="68">
        <f t="shared" si="4"/>
        <v>0</v>
      </c>
      <c r="H25" s="60"/>
      <c r="I25" s="60" t="str">
        <f t="shared" si="0"/>
        <v xml:space="preserve"> </v>
      </c>
      <c r="J25" s="60"/>
      <c r="K25" s="60"/>
      <c r="L25" s="123" t="str">
        <f t="shared" si="2"/>
        <v xml:space="preserve"> </v>
      </c>
    </row>
    <row r="26" spans="1:12" x14ac:dyDescent="0.25">
      <c r="A26" s="22" t="str">
        <f>'SC_Loop 1'!A26</f>
        <v>DGD-620-AC</v>
      </c>
      <c r="B26" s="23"/>
      <c r="C26" s="24">
        <f>'SC_Loop 1'!C26</f>
        <v>9.1E-4</v>
      </c>
      <c r="D26" s="68">
        <f t="shared" si="3"/>
        <v>0</v>
      </c>
      <c r="E26" s="234">
        <f t="shared" si="5"/>
        <v>0</v>
      </c>
      <c r="F26" s="24">
        <f>'SC_Loop 1'!F26</f>
        <v>1.1000000000000001E-3</v>
      </c>
      <c r="G26" s="68">
        <f t="shared" si="4"/>
        <v>0</v>
      </c>
      <c r="H26" s="60"/>
      <c r="I26" s="60" t="str">
        <f t="shared" si="0"/>
        <v xml:space="preserve"> </v>
      </c>
      <c r="J26" s="60"/>
      <c r="K26" s="60"/>
      <c r="L26" s="123" t="str">
        <f t="shared" si="2"/>
        <v xml:space="preserve"> </v>
      </c>
    </row>
    <row r="27" spans="1:12" x14ac:dyDescent="0.25">
      <c r="A27" s="22" t="str">
        <f>'SC_Loop 1'!A27</f>
        <v>MAD-401 &amp; MAD-401-I</v>
      </c>
      <c r="B27" s="23"/>
      <c r="C27" s="24">
        <f>'SC_Loop 1'!C27</f>
        <v>2.9999999999999997E-4</v>
      </c>
      <c r="D27" s="68">
        <f t="shared" si="3"/>
        <v>0</v>
      </c>
      <c r="E27" s="233">
        <f>B27*'System Calculation'!$I$14</f>
        <v>0</v>
      </c>
      <c r="F27" s="24">
        <f>'SC_Loop 1'!F27</f>
        <v>3.0000000000000001E-3</v>
      </c>
      <c r="G27" s="68">
        <f t="shared" si="4"/>
        <v>0</v>
      </c>
      <c r="H27" s="60"/>
      <c r="I27" s="60"/>
      <c r="J27" s="60" t="str">
        <f>IF(B27&lt;&gt;0,B27," ")</f>
        <v xml:space="preserve"> </v>
      </c>
      <c r="K27" s="60"/>
      <c r="L27" s="123" t="str">
        <f>IF(J27&lt;&gt;0,J27," ")</f>
        <v xml:space="preserve"> </v>
      </c>
    </row>
    <row r="28" spans="1:12" x14ac:dyDescent="0.25">
      <c r="A28" s="22" t="str">
        <f>'SC_Loop 1'!A28</f>
        <v>MAD-402 &amp; MAD-402-I</v>
      </c>
      <c r="B28" s="23"/>
      <c r="C28" s="24">
        <f>'SC_Loop 1'!C28</f>
        <v>2.9999999999999997E-4</v>
      </c>
      <c r="D28" s="68">
        <f t="shared" si="3"/>
        <v>0</v>
      </c>
      <c r="E28" s="233">
        <f>B28*'System Calculation'!$I$14</f>
        <v>0</v>
      </c>
      <c r="F28" s="24">
        <f>'SC_Loop 1'!F28</f>
        <v>3.0000000000000001E-3</v>
      </c>
      <c r="G28" s="68">
        <f t="shared" si="4"/>
        <v>0</v>
      </c>
      <c r="H28" s="60"/>
      <c r="I28" s="60"/>
      <c r="J28" s="60">
        <f>IF(B28&lt;&gt;0,B28,0)</f>
        <v>0</v>
      </c>
      <c r="K28" s="60"/>
      <c r="L28" s="123" t="str">
        <f>IF(J28&lt;&gt;0,2*J28," ")</f>
        <v xml:space="preserve"> </v>
      </c>
    </row>
    <row r="29" spans="1:12" x14ac:dyDescent="0.25">
      <c r="A29" s="22" t="str">
        <f>'SC_Loop 1'!A29</f>
        <v>MAD-405-I</v>
      </c>
      <c r="B29" s="23"/>
      <c r="C29" s="24">
        <f>'SC_Loop 1'!C29</f>
        <v>2.9999999999999997E-4</v>
      </c>
      <c r="D29" s="68">
        <f t="shared" si="3"/>
        <v>0</v>
      </c>
      <c r="E29" s="233">
        <f>B29*'System Calculation'!$I$14</f>
        <v>0</v>
      </c>
      <c r="F29" s="24">
        <f>'SC_Loop 1'!F29</f>
        <v>3.0000000000000001E-3</v>
      </c>
      <c r="G29" s="68">
        <f t="shared" si="4"/>
        <v>0</v>
      </c>
      <c r="H29" s="60"/>
      <c r="I29" s="60"/>
      <c r="J29" s="60">
        <f>IF(B29&lt;&gt;0,B29,0)</f>
        <v>0</v>
      </c>
      <c r="K29" s="60"/>
      <c r="L29" s="123" t="str">
        <f>IF(J29&lt;&gt;0,5*J29," ")</f>
        <v xml:space="preserve"> </v>
      </c>
    </row>
    <row r="30" spans="1:12" x14ac:dyDescent="0.25">
      <c r="A30" s="22" t="str">
        <f>'SC_Loop 1'!A30</f>
        <v>MAD-409-I</v>
      </c>
      <c r="B30" s="23"/>
      <c r="C30" s="24">
        <f>'SC_Loop 1'!C30</f>
        <v>2.9999999999999997E-4</v>
      </c>
      <c r="D30" s="68">
        <f t="shared" si="3"/>
        <v>0</v>
      </c>
      <c r="E30" s="233">
        <f>B30*'System Calculation'!$I$14</f>
        <v>0</v>
      </c>
      <c r="F30" s="24">
        <f>'SC_Loop 1'!F30</f>
        <v>3.0000000000000001E-3</v>
      </c>
      <c r="G30" s="68">
        <f t="shared" si="4"/>
        <v>0</v>
      </c>
      <c r="H30" s="60"/>
      <c r="I30" s="60"/>
      <c r="J30" s="60">
        <f>IF(B30&lt;&gt;0,B30,0)</f>
        <v>0</v>
      </c>
      <c r="K30" s="60"/>
      <c r="L30" s="123" t="str">
        <f>IF(J30&lt;&gt;0,10*J30," ")</f>
        <v xml:space="preserve"> </v>
      </c>
    </row>
    <row r="31" spans="1:12" x14ac:dyDescent="0.25">
      <c r="A31" s="22" t="str">
        <f>'SC_Loop 1'!A31</f>
        <v>MAD-411 &amp; MAD-411-I</v>
      </c>
      <c r="B31" s="23"/>
      <c r="C31" s="24">
        <f>'SC_Loop 1'!C31</f>
        <v>2.9999999999999997E-4</v>
      </c>
      <c r="D31" s="68">
        <f t="shared" si="3"/>
        <v>0</v>
      </c>
      <c r="E31" s="233">
        <f>B31*'System Calculation'!$I$14</f>
        <v>0</v>
      </c>
      <c r="F31" s="24">
        <f>'SC_Loop 1'!F31</f>
        <v>3.0000000000000001E-3</v>
      </c>
      <c r="G31" s="68">
        <f t="shared" si="4"/>
        <v>0</v>
      </c>
      <c r="H31" s="60"/>
      <c r="I31" s="60"/>
      <c r="J31" s="60" t="str">
        <f>IF(B31&lt;&gt;0,B31," ")</f>
        <v xml:space="preserve"> </v>
      </c>
      <c r="K31" s="60"/>
      <c r="L31" s="123" t="str">
        <f>IF(J31&lt;&gt;0,J31," ")</f>
        <v xml:space="preserve"> </v>
      </c>
    </row>
    <row r="32" spans="1:12" x14ac:dyDescent="0.25">
      <c r="A32" s="22" t="str">
        <f>'SC_Loop 1'!A32</f>
        <v>MAD-412 &amp; MAD-412-I</v>
      </c>
      <c r="B32" s="23"/>
      <c r="C32" s="24">
        <f>'SC_Loop 1'!C32</f>
        <v>2.9999999999999997E-4</v>
      </c>
      <c r="D32" s="68">
        <f t="shared" si="3"/>
        <v>0</v>
      </c>
      <c r="E32" s="233">
        <f>B32*'System Calculation'!$I$14</f>
        <v>0</v>
      </c>
      <c r="F32" s="24">
        <f>'SC_Loop 1'!F32</f>
        <v>3.0000000000000001E-3</v>
      </c>
      <c r="G32" s="68">
        <f t="shared" si="4"/>
        <v>0</v>
      </c>
      <c r="H32" s="60"/>
      <c r="I32" s="60"/>
      <c r="J32" s="60">
        <f t="shared" ref="J32:J38" si="6">IF(B32&lt;&gt;0,B32,0)</f>
        <v>0</v>
      </c>
      <c r="K32" s="60"/>
      <c r="L32" s="123" t="str">
        <f>IF(J32&lt;&gt;0,2*J32," ")</f>
        <v xml:space="preserve"> </v>
      </c>
    </row>
    <row r="33" spans="1:14" x14ac:dyDescent="0.25">
      <c r="A33" s="22" t="str">
        <f>'SC_Loop 1'!A33</f>
        <v>MAD-415-I</v>
      </c>
      <c r="B33" s="23"/>
      <c r="C33" s="24">
        <f>'SC_Loop 1'!C33</f>
        <v>2.9999999999999997E-4</v>
      </c>
      <c r="D33" s="68">
        <f t="shared" si="3"/>
        <v>0</v>
      </c>
      <c r="E33" s="233">
        <f>B33*'System Calculation'!$I$14</f>
        <v>0</v>
      </c>
      <c r="F33" s="24">
        <f>'SC_Loop 1'!F33</f>
        <v>3.0000000000000001E-3</v>
      </c>
      <c r="G33" s="68">
        <f t="shared" si="4"/>
        <v>0</v>
      </c>
      <c r="H33" s="60"/>
      <c r="I33" s="60"/>
      <c r="J33" s="60">
        <f t="shared" si="6"/>
        <v>0</v>
      </c>
      <c r="K33" s="60"/>
      <c r="L33" s="123" t="str">
        <f>IF(J33&lt;&gt;0,5*J33," ")</f>
        <v xml:space="preserve"> </v>
      </c>
      <c r="N33" s="195" t="str">
        <f>IF(AND(B33&gt;0),"Info: External 24V needed. Control Panel could provide from 24Vaux, if 500mA maximum current isn't exceeded."," ")</f>
        <v xml:space="preserve"> </v>
      </c>
    </row>
    <row r="34" spans="1:14" x14ac:dyDescent="0.25">
      <c r="A34" s="22" t="str">
        <f>'SC_Loop 1'!A34</f>
        <v>MAD-419-I</v>
      </c>
      <c r="B34" s="23"/>
      <c r="C34" s="24">
        <f>'SC_Loop 1'!C34</f>
        <v>2.9999999999999997E-4</v>
      </c>
      <c r="D34" s="68">
        <f t="shared" si="3"/>
        <v>0</v>
      </c>
      <c r="E34" s="233">
        <f>B34*'System Calculation'!$I$14</f>
        <v>0</v>
      </c>
      <c r="F34" s="24">
        <f>'SC_Loop 1'!F34</f>
        <v>3.0000000000000001E-3</v>
      </c>
      <c r="G34" s="68">
        <f t="shared" si="4"/>
        <v>0</v>
      </c>
      <c r="H34" s="60"/>
      <c r="I34" s="60"/>
      <c r="J34" s="60">
        <f t="shared" si="6"/>
        <v>0</v>
      </c>
      <c r="K34" s="60"/>
      <c r="L34" s="123" t="str">
        <f>IF(J34&lt;&gt;0,10*J34," ")</f>
        <v xml:space="preserve"> </v>
      </c>
      <c r="N34" s="41" t="str">
        <f>IF(AND(B34&gt;0),"Info: External 24V needed. Control Panel could provide from 24Vaux, if 500mA maximum current isn't exceeded."," ")</f>
        <v xml:space="preserve"> </v>
      </c>
    </row>
    <row r="35" spans="1:14" x14ac:dyDescent="0.25">
      <c r="A35" s="22" t="str">
        <f>'SC_Loop 1'!A35</f>
        <v>MAD-421 &amp; MAD-421-I</v>
      </c>
      <c r="B35" s="23"/>
      <c r="C35" s="24">
        <f>'SC_Loop 1'!C35</f>
        <v>2.9999999999999997E-4</v>
      </c>
      <c r="D35" s="68">
        <f t="shared" si="3"/>
        <v>0</v>
      </c>
      <c r="E35" s="233">
        <f>B35*'System Calculation'!$I$14</f>
        <v>0</v>
      </c>
      <c r="F35" s="24">
        <f>'SC_Loop 1'!F35</f>
        <v>3.0000000000000001E-3</v>
      </c>
      <c r="G35" s="68">
        <f t="shared" si="4"/>
        <v>0</v>
      </c>
      <c r="H35" s="60"/>
      <c r="I35" s="60"/>
      <c r="J35" s="60">
        <f t="shared" si="6"/>
        <v>0</v>
      </c>
      <c r="K35" s="60"/>
      <c r="L35" s="123" t="str">
        <f>IF(J35&lt;&gt;0,2*J35," ")</f>
        <v xml:space="preserve"> </v>
      </c>
      <c r="N35" s="41"/>
    </row>
    <row r="36" spans="1:14" x14ac:dyDescent="0.25">
      <c r="A36" s="22" t="str">
        <f>'SC_Loop 1'!A36</f>
        <v>MAD-422 &amp; MAD-422-I</v>
      </c>
      <c r="B36" s="23"/>
      <c r="C36" s="24">
        <f>'SC_Loop 1'!C36</f>
        <v>2.9999999999999997E-4</v>
      </c>
      <c r="D36" s="68">
        <f t="shared" si="3"/>
        <v>0</v>
      </c>
      <c r="E36" s="233">
        <f>B36*'System Calculation'!$I$14</f>
        <v>0</v>
      </c>
      <c r="F36" s="24">
        <f>'SC_Loop 1'!F36</f>
        <v>3.0000000000000001E-3</v>
      </c>
      <c r="G36" s="68">
        <f t="shared" si="4"/>
        <v>0</v>
      </c>
      <c r="H36" s="60"/>
      <c r="I36" s="60"/>
      <c r="J36" s="60">
        <f t="shared" si="6"/>
        <v>0</v>
      </c>
      <c r="K36" s="60"/>
      <c r="L36" s="123" t="str">
        <f>IF(J36&lt;&gt;0,4*J36," ")</f>
        <v xml:space="preserve"> </v>
      </c>
      <c r="N36" s="41" t="str">
        <f>IF(AND(B36&gt;0,B36&lt;5),CONCATENATE("Info: External 24V needed. Control Panel could provide from 24Vaux, if 500mA maximum current isn't exceeded. Current requested from device(s) = ",D36,"mA."),IF(B36=0," ",IF(OR(B36=5,B36&gt;5),CONCATENATE("Warning: External 24V PSU is mandatory. Current requested from devices = ",D36,"mA.")," ")))</f>
        <v xml:space="preserve"> </v>
      </c>
    </row>
    <row r="37" spans="1:14" x14ac:dyDescent="0.25">
      <c r="A37" s="22" t="str">
        <f>'SC_Loop 1'!A37</f>
        <v>MAD-425-I</v>
      </c>
      <c r="B37" s="23"/>
      <c r="C37" s="24">
        <f>'SC_Loop 1'!C37</f>
        <v>2.9999999999999997E-4</v>
      </c>
      <c r="D37" s="68">
        <f t="shared" si="3"/>
        <v>0</v>
      </c>
      <c r="E37" s="233">
        <f>B37*'System Calculation'!$I$14</f>
        <v>0</v>
      </c>
      <c r="F37" s="24">
        <f>'SC_Loop 1'!F37</f>
        <v>3.0000000000000001E-3</v>
      </c>
      <c r="G37" s="68">
        <f t="shared" si="4"/>
        <v>0</v>
      </c>
      <c r="H37" s="60"/>
      <c r="I37" s="60"/>
      <c r="J37" s="60">
        <f t="shared" si="6"/>
        <v>0</v>
      </c>
      <c r="K37" s="60"/>
      <c r="L37" s="123" t="str">
        <f>IF(J37&lt;&gt;0,10*J37," ")</f>
        <v xml:space="preserve"> </v>
      </c>
      <c r="N37" s="41" t="str">
        <f t="shared" ref="N37:N42" si="7">IF(AND(B37&gt;0),"Info: External 24V needed. Control Panel could provide from 24Vaux, if 500mA maximum current isn't exceeded."," ")</f>
        <v xml:space="preserve"> </v>
      </c>
    </row>
    <row r="38" spans="1:14" x14ac:dyDescent="0.25">
      <c r="A38" s="22" t="str">
        <f>'SC_Loop 1'!A38</f>
        <v>MAD-429-I</v>
      </c>
      <c r="B38" s="23"/>
      <c r="C38" s="24">
        <f>'SC_Loop 1'!C38</f>
        <v>2.9999999999999997E-4</v>
      </c>
      <c r="D38" s="68">
        <f t="shared" si="3"/>
        <v>0</v>
      </c>
      <c r="E38" s="233">
        <f>B38*'System Calculation'!$I$14</f>
        <v>0</v>
      </c>
      <c r="F38" s="24">
        <f>'SC_Loop 1'!F38</f>
        <v>3.0000000000000001E-3</v>
      </c>
      <c r="G38" s="68">
        <f t="shared" si="4"/>
        <v>0</v>
      </c>
      <c r="H38" s="60"/>
      <c r="I38" s="60"/>
      <c r="J38" s="60">
        <f t="shared" si="6"/>
        <v>0</v>
      </c>
      <c r="K38" s="60"/>
      <c r="L38" s="123" t="str">
        <f>IF(J38&lt;&gt;0,20*J38," ")</f>
        <v xml:space="preserve"> </v>
      </c>
      <c r="N38" s="41" t="str">
        <f t="shared" si="7"/>
        <v xml:space="preserve"> </v>
      </c>
    </row>
    <row r="39" spans="1:14" x14ac:dyDescent="0.25">
      <c r="A39" s="22" t="str">
        <f>'SC_Loop 1'!A39</f>
        <v>MAD-431 &amp; MAD-431-I</v>
      </c>
      <c r="B39" s="23"/>
      <c r="C39" s="24">
        <f>'SC_Loop 1'!C39</f>
        <v>2.9999999999999997E-4</v>
      </c>
      <c r="D39" s="68">
        <f t="shared" si="3"/>
        <v>0</v>
      </c>
      <c r="E39" s="233">
        <f>B39*'System Calculation'!$I$14</f>
        <v>0</v>
      </c>
      <c r="F39" s="24">
        <f>'SC_Loop 1'!F39</f>
        <v>3.0000000000000001E-3</v>
      </c>
      <c r="G39" s="68">
        <f t="shared" si="4"/>
        <v>0</v>
      </c>
      <c r="H39" s="60"/>
      <c r="I39" s="60"/>
      <c r="J39" s="60" t="str">
        <f>IF(B39&lt;&gt;0,B39," ")</f>
        <v xml:space="preserve"> </v>
      </c>
      <c r="K39" s="60"/>
      <c r="L39" s="123" t="str">
        <f>IF(J39&lt;&gt;0,J39," ")</f>
        <v xml:space="preserve"> </v>
      </c>
      <c r="N39" s="41" t="str">
        <f t="shared" si="7"/>
        <v xml:space="preserve"> </v>
      </c>
    </row>
    <row r="40" spans="1:14" x14ac:dyDescent="0.25">
      <c r="A40" s="22" t="str">
        <f>'SC_Loop 1'!A40</f>
        <v>MAD-432 &amp; MAD-432-I</v>
      </c>
      <c r="B40" s="23"/>
      <c r="C40" s="24">
        <f>'SC_Loop 1'!C40</f>
        <v>2.9999999999999997E-4</v>
      </c>
      <c r="D40" s="68">
        <f t="shared" si="3"/>
        <v>0</v>
      </c>
      <c r="E40" s="233">
        <f>B40*'System Calculation'!$I$14</f>
        <v>0</v>
      </c>
      <c r="F40" s="24">
        <f>'SC_Loop 1'!F40</f>
        <v>3.0000000000000001E-3</v>
      </c>
      <c r="G40" s="68">
        <f t="shared" si="4"/>
        <v>0</v>
      </c>
      <c r="H40" s="60"/>
      <c r="I40" s="60"/>
      <c r="J40" s="60">
        <f>IF(B40&lt;&gt;0,B40,0)</f>
        <v>0</v>
      </c>
      <c r="K40" s="60"/>
      <c r="L40" s="123" t="str">
        <f>IF(J40&lt;&gt;0,2*J40," ")</f>
        <v xml:space="preserve"> </v>
      </c>
      <c r="N40" s="41" t="str">
        <f t="shared" si="7"/>
        <v xml:space="preserve"> </v>
      </c>
    </row>
    <row r="41" spans="1:14" x14ac:dyDescent="0.25">
      <c r="A41" s="22" t="str">
        <f>'SC_Loop 1'!A41</f>
        <v>MAD-441 &amp; MAD-441-I</v>
      </c>
      <c r="B41" s="23"/>
      <c r="C41" s="24">
        <f>'SC_Loop 1'!C41</f>
        <v>2.9999999999999997E-4</v>
      </c>
      <c r="D41" s="68">
        <f t="shared" si="3"/>
        <v>0</v>
      </c>
      <c r="E41" s="233">
        <f>B41*'System Calculation'!$I$14</f>
        <v>0</v>
      </c>
      <c r="F41" s="24">
        <f>'SC_Loop 1'!F41</f>
        <v>3.0000000000000001E-3</v>
      </c>
      <c r="G41" s="68">
        <f t="shared" si="4"/>
        <v>0</v>
      </c>
      <c r="H41" s="60"/>
      <c r="I41" s="60"/>
      <c r="J41" s="60" t="str">
        <f>IF(B41&lt;&gt;0,B41," ")</f>
        <v xml:space="preserve"> </v>
      </c>
      <c r="K41" s="60"/>
      <c r="L41" s="123" t="str">
        <f>IF(J41&lt;&gt;0,J41," ")</f>
        <v xml:space="preserve"> </v>
      </c>
      <c r="N41" s="41" t="str">
        <f t="shared" si="7"/>
        <v xml:space="preserve"> </v>
      </c>
    </row>
    <row r="42" spans="1:14" x14ac:dyDescent="0.25">
      <c r="A42" s="22" t="str">
        <f>'SC_Loop 1'!A42</f>
        <v>MAD-442 &amp; MAD-442-I</v>
      </c>
      <c r="B42" s="23"/>
      <c r="C42" s="24">
        <f>'SC_Loop 1'!C42</f>
        <v>2.9999999999999997E-4</v>
      </c>
      <c r="D42" s="68">
        <f t="shared" si="3"/>
        <v>0</v>
      </c>
      <c r="E42" s="233">
        <f>B42*'System Calculation'!$I$14</f>
        <v>0</v>
      </c>
      <c r="F42" s="24">
        <f>'SC_Loop 1'!F42</f>
        <v>3.0000000000000001E-3</v>
      </c>
      <c r="G42" s="68">
        <f t="shared" si="4"/>
        <v>0</v>
      </c>
      <c r="H42" s="60"/>
      <c r="I42" s="60"/>
      <c r="J42" s="60">
        <f>IF(B42&lt;&gt;0,B42,0)</f>
        <v>0</v>
      </c>
      <c r="K42" s="60"/>
      <c r="L42" s="123" t="str">
        <f>IF(J42&lt;&gt;0,2*J42," ")</f>
        <v xml:space="preserve"> </v>
      </c>
      <c r="N42" s="41" t="str">
        <f t="shared" si="7"/>
        <v xml:space="preserve"> </v>
      </c>
    </row>
    <row r="43" spans="1:14" x14ac:dyDescent="0.25">
      <c r="A43" s="22" t="str">
        <f>'SC_Loop 1'!A43</f>
        <v>MAD-450 &amp; MAD-450-I</v>
      </c>
      <c r="B43" s="23"/>
      <c r="C43" s="24">
        <f>'SC_Loop 1'!C43</f>
        <v>2.9999999999999997E-4</v>
      </c>
      <c r="D43" s="68">
        <f t="shared" si="3"/>
        <v>0</v>
      </c>
      <c r="E43" s="233">
        <f>B43*'System Calculation'!$I$12</f>
        <v>0</v>
      </c>
      <c r="F43" s="24">
        <f>'SC_Loop 1'!F43</f>
        <v>3.0000000000000001E-3</v>
      </c>
      <c r="G43" s="68">
        <f t="shared" si="4"/>
        <v>0</v>
      </c>
      <c r="H43" s="60"/>
      <c r="I43" s="59"/>
      <c r="J43" s="60"/>
      <c r="K43" s="60"/>
      <c r="L43" s="123" t="str">
        <f>IF(B43&lt;&gt;0,B43," ")</f>
        <v xml:space="preserve"> </v>
      </c>
      <c r="N43" s="11"/>
    </row>
    <row r="44" spans="1:14" x14ac:dyDescent="0.25">
      <c r="A44" s="22" t="str">
        <f>'SC_Loop 1'!A44</f>
        <v>MAD-451-I</v>
      </c>
      <c r="B44" s="23"/>
      <c r="C44" s="24">
        <f>'SC_Loop 1'!C44</f>
        <v>2.9999999999999997E-4</v>
      </c>
      <c r="D44" s="68">
        <f t="shared" si="3"/>
        <v>0</v>
      </c>
      <c r="E44" s="233">
        <f>B44*'System Calculation'!$I$12</f>
        <v>0</v>
      </c>
      <c r="F44" s="24">
        <f>'SC_Loop 1'!F44</f>
        <v>3.0000000000000001E-3</v>
      </c>
      <c r="G44" s="68">
        <f t="shared" si="4"/>
        <v>0</v>
      </c>
      <c r="H44" s="60"/>
      <c r="I44" s="60"/>
      <c r="J44" s="60"/>
      <c r="K44" s="60"/>
      <c r="L44" s="123" t="str">
        <f>IF(B44&lt;&gt;0,B44," ")</f>
        <v xml:space="preserve"> </v>
      </c>
    </row>
    <row r="45" spans="1:14" x14ac:dyDescent="0.25">
      <c r="A45" s="22" t="str">
        <f>'SC_Loop 1'!A45</f>
        <v>MAD-461-I</v>
      </c>
      <c r="B45" s="23"/>
      <c r="C45" s="24">
        <f>'SC_Loop 1'!C45</f>
        <v>2.9999999999999997E-4</v>
      </c>
      <c r="D45" s="68">
        <f t="shared" si="3"/>
        <v>0</v>
      </c>
      <c r="E45" s="233">
        <f>B45*'System Calculation'!$I$13</f>
        <v>0</v>
      </c>
      <c r="F45" s="24">
        <f>'SC_Loop 1'!F45</f>
        <v>8.9999999999999993E-3</v>
      </c>
      <c r="G45" s="68">
        <f>E45*F45</f>
        <v>0</v>
      </c>
      <c r="H45" s="60" t="str">
        <f>IF(B45*G45=0," ",G45)</f>
        <v xml:space="preserve"> </v>
      </c>
      <c r="I45" s="60"/>
      <c r="J45" s="60"/>
      <c r="K45" s="60" t="str">
        <f t="shared" ref="K45:K53" si="8">IF(B45&lt;&gt;0,B45," ")</f>
        <v xml:space="preserve"> </v>
      </c>
      <c r="L45" s="123" t="str">
        <f>IF(K45&lt;&gt;0,K45," ")</f>
        <v xml:space="preserve"> </v>
      </c>
    </row>
    <row r="46" spans="1:14" x14ac:dyDescent="0.25">
      <c r="A46" s="22" t="str">
        <f>'SC_Loop 1'!A46</f>
        <v>MAD-464-I Low vol. (78 dB)</v>
      </c>
      <c r="B46" s="23"/>
      <c r="C46" s="24">
        <f>'SC_Loop 1'!C46</f>
        <v>2.9999999999999997E-4</v>
      </c>
      <c r="D46" s="68">
        <f t="shared" si="3"/>
        <v>0</v>
      </c>
      <c r="E46" s="233">
        <f>B46*'System Calculation'!$I$13</f>
        <v>0</v>
      </c>
      <c r="F46" s="24">
        <f>'SC_Loop 1'!F46</f>
        <v>6.4999999999999997E-3</v>
      </c>
      <c r="G46" s="68">
        <f t="shared" ref="G46:G51" si="9">E46*F46</f>
        <v>0</v>
      </c>
      <c r="H46" s="60" t="str">
        <f t="shared" ref="H46:H53" si="10">IF(B46*G46=0," ",G46)</f>
        <v xml:space="preserve"> </v>
      </c>
      <c r="I46" s="60"/>
      <c r="J46" s="60"/>
      <c r="K46" s="60" t="str">
        <f t="shared" si="8"/>
        <v xml:space="preserve"> </v>
      </c>
      <c r="L46" s="123" t="str">
        <f t="shared" ref="L46:L53" si="11">IF(K46&lt;&gt;0,K46," ")</f>
        <v xml:space="preserve"> </v>
      </c>
    </row>
    <row r="47" spans="1:14" x14ac:dyDescent="0.25">
      <c r="A47" s="22" t="str">
        <f>'SC_Loop 1'!A47</f>
        <v>MAD-464-I Medium vol. (93 dB)</v>
      </c>
      <c r="B47" s="23"/>
      <c r="C47" s="24">
        <f>'SC_Loop 1'!C47</f>
        <v>2.9999999999999997E-4</v>
      </c>
      <c r="D47" s="68">
        <f t="shared" si="3"/>
        <v>0</v>
      </c>
      <c r="E47" s="233">
        <f>B47*'System Calculation'!$I$13</f>
        <v>0</v>
      </c>
      <c r="F47" s="24">
        <f>'SC_Loop 1'!F47</f>
        <v>9.7000000000000003E-3</v>
      </c>
      <c r="G47" s="68">
        <f t="shared" si="9"/>
        <v>0</v>
      </c>
      <c r="H47" s="60" t="str">
        <f t="shared" si="10"/>
        <v xml:space="preserve"> </v>
      </c>
      <c r="I47" s="60"/>
      <c r="J47" s="60"/>
      <c r="K47" s="60" t="str">
        <f t="shared" si="8"/>
        <v xml:space="preserve"> </v>
      </c>
      <c r="L47" s="123" t="str">
        <f t="shared" si="11"/>
        <v xml:space="preserve"> </v>
      </c>
    </row>
    <row r="48" spans="1:14" x14ac:dyDescent="0.25">
      <c r="A48" s="22" t="str">
        <f>'SC_Loop 1'!A48</f>
        <v>MAD-464-I High vol. (97 dB)</v>
      </c>
      <c r="B48" s="23"/>
      <c r="C48" s="24">
        <f>'SC_Loop 1'!C48</f>
        <v>2.9999999999999997E-4</v>
      </c>
      <c r="D48" s="68">
        <f t="shared" si="3"/>
        <v>0</v>
      </c>
      <c r="E48" s="233">
        <f>B48*'System Calculation'!$I$13</f>
        <v>0</v>
      </c>
      <c r="F48" s="24">
        <f>'SC_Loop 1'!F48</f>
        <v>1.2999999999999999E-2</v>
      </c>
      <c r="G48" s="68">
        <f t="shared" si="9"/>
        <v>0</v>
      </c>
      <c r="H48" s="60" t="str">
        <f t="shared" si="10"/>
        <v xml:space="preserve"> </v>
      </c>
      <c r="I48" s="60"/>
      <c r="J48" s="60"/>
      <c r="K48" s="60" t="str">
        <f t="shared" si="8"/>
        <v xml:space="preserve"> </v>
      </c>
      <c r="L48" s="123" t="str">
        <f t="shared" si="11"/>
        <v xml:space="preserve"> </v>
      </c>
    </row>
    <row r="49" spans="1:14" x14ac:dyDescent="0.25">
      <c r="A49" s="22" t="str">
        <f>'SC_Loop 1'!A49</f>
        <v>MAD-465-I Low vol. (78 dB)</v>
      </c>
      <c r="B49" s="23"/>
      <c r="C49" s="24">
        <f>'SC_Loop 1'!C49</f>
        <v>2.9999999999999997E-4</v>
      </c>
      <c r="D49" s="68">
        <f t="shared" si="3"/>
        <v>0</v>
      </c>
      <c r="E49" s="233">
        <f>B49*'System Calculation'!$I$13</f>
        <v>0</v>
      </c>
      <c r="F49" s="24">
        <f>'SC_Loop 1'!F49</f>
        <v>6.4999999999999997E-3</v>
      </c>
      <c r="G49" s="68">
        <f t="shared" si="9"/>
        <v>0</v>
      </c>
      <c r="H49" s="60" t="str">
        <f t="shared" si="10"/>
        <v xml:space="preserve"> </v>
      </c>
      <c r="I49" s="60"/>
      <c r="J49" s="60"/>
      <c r="K49" s="60" t="str">
        <f t="shared" si="8"/>
        <v xml:space="preserve"> </v>
      </c>
      <c r="L49" s="123" t="str">
        <f t="shared" si="11"/>
        <v xml:space="preserve"> </v>
      </c>
    </row>
    <row r="50" spans="1:14" x14ac:dyDescent="0.25">
      <c r="A50" s="22" t="str">
        <f>'SC_Loop 1'!A50</f>
        <v>MAD-465-I Medium vol. (93 dB)</v>
      </c>
      <c r="B50" s="23"/>
      <c r="C50" s="24">
        <f>'SC_Loop 1'!C50</f>
        <v>2.9999999999999997E-4</v>
      </c>
      <c r="D50" s="68">
        <f t="shared" si="3"/>
        <v>0</v>
      </c>
      <c r="E50" s="233">
        <f>B50*'System Calculation'!$I$13</f>
        <v>0</v>
      </c>
      <c r="F50" s="24">
        <f>'SC_Loop 1'!F50</f>
        <v>9.7000000000000003E-3</v>
      </c>
      <c r="G50" s="68">
        <f t="shared" si="9"/>
        <v>0</v>
      </c>
      <c r="H50" s="60" t="str">
        <f t="shared" si="10"/>
        <v xml:space="preserve"> </v>
      </c>
      <c r="I50" s="60"/>
      <c r="J50" s="60"/>
      <c r="K50" s="60" t="str">
        <f t="shared" si="8"/>
        <v xml:space="preserve"> </v>
      </c>
      <c r="L50" s="123" t="str">
        <f t="shared" si="11"/>
        <v xml:space="preserve"> </v>
      </c>
    </row>
    <row r="51" spans="1:14" x14ac:dyDescent="0.25">
      <c r="A51" s="22" t="str">
        <f>'SC_Loop 1'!A51</f>
        <v>MAD-465-I High vol. (97 dB)</v>
      </c>
      <c r="B51" s="23"/>
      <c r="C51" s="24">
        <f>'SC_Loop 1'!C51</f>
        <v>2.9999999999999997E-4</v>
      </c>
      <c r="D51" s="68">
        <f t="shared" si="3"/>
        <v>0</v>
      </c>
      <c r="E51" s="233">
        <f>B51*'System Calculation'!$I$13</f>
        <v>0</v>
      </c>
      <c r="F51" s="24">
        <f>'SC_Loop 1'!F51</f>
        <v>1.2999999999999999E-2</v>
      </c>
      <c r="G51" s="68">
        <f t="shared" si="9"/>
        <v>0</v>
      </c>
      <c r="H51" s="60" t="str">
        <f t="shared" si="10"/>
        <v xml:space="preserve"> </v>
      </c>
      <c r="I51" s="60"/>
      <c r="J51" s="60"/>
      <c r="K51" s="60" t="str">
        <f t="shared" si="8"/>
        <v xml:space="preserve"> </v>
      </c>
      <c r="L51" s="123" t="str">
        <f t="shared" si="11"/>
        <v xml:space="preserve"> </v>
      </c>
    </row>
    <row r="52" spans="1:14" x14ac:dyDescent="0.25">
      <c r="A52" s="22" t="str">
        <f>'SC_Loop 1'!A52</f>
        <v>MAD-472</v>
      </c>
      <c r="B52" s="23"/>
      <c r="C52" s="24">
        <f>'SC_Loop 1'!C52</f>
        <v>3.5E-4</v>
      </c>
      <c r="D52" s="68">
        <f>B52*C52</f>
        <v>0</v>
      </c>
      <c r="E52" s="233">
        <f>B52*'System Calculation'!$I$13</f>
        <v>0</v>
      </c>
      <c r="F52" s="24">
        <f>'SC_Loop 1'!F52</f>
        <v>1.4E-2</v>
      </c>
      <c r="G52" s="68">
        <f t="shared" si="4"/>
        <v>0</v>
      </c>
      <c r="H52" s="60" t="str">
        <f t="shared" si="10"/>
        <v xml:space="preserve"> </v>
      </c>
      <c r="I52" s="60"/>
      <c r="J52" s="60"/>
      <c r="K52" s="60" t="str">
        <f t="shared" si="8"/>
        <v xml:space="preserve"> </v>
      </c>
      <c r="L52" s="123" t="str">
        <f t="shared" si="11"/>
        <v xml:space="preserve"> </v>
      </c>
    </row>
    <row r="53" spans="1:14" x14ac:dyDescent="0.25">
      <c r="A53" s="22" t="str">
        <f>'SC_Loop 1'!A53</f>
        <v>MAD-473</v>
      </c>
      <c r="B53" s="23"/>
      <c r="C53" s="24">
        <f>'SC_Loop 1'!C53</f>
        <v>3.5E-4</v>
      </c>
      <c r="D53" s="68">
        <f t="shared" si="3"/>
        <v>0</v>
      </c>
      <c r="E53" s="233">
        <f>B53*'System Calculation'!$I$13</f>
        <v>0</v>
      </c>
      <c r="F53" s="24">
        <f>'SC_Loop 1'!F53</f>
        <v>1.4999999999999999E-2</v>
      </c>
      <c r="G53" s="68">
        <f t="shared" si="4"/>
        <v>0</v>
      </c>
      <c r="H53" s="60" t="str">
        <f t="shared" si="10"/>
        <v xml:space="preserve"> </v>
      </c>
      <c r="I53" s="60"/>
      <c r="J53" s="60"/>
      <c r="K53" s="60" t="str">
        <f t="shared" si="8"/>
        <v xml:space="preserve"> </v>
      </c>
      <c r="L53" s="123" t="str">
        <f t="shared" si="11"/>
        <v xml:space="preserve"> </v>
      </c>
    </row>
    <row r="54" spans="1:14" x14ac:dyDescent="0.25">
      <c r="A54" s="22" t="str">
        <f>'SC_Loop 1'!A54</f>
        <v>MAD-481</v>
      </c>
      <c r="B54" s="23"/>
      <c r="C54" s="24">
        <f>'SC_Loop 1'!C54</f>
        <v>2.9999999999999997E-4</v>
      </c>
      <c r="D54" s="68">
        <f t="shared" si="3"/>
        <v>0</v>
      </c>
      <c r="E54" s="233">
        <f>B54*'System Calculation'!$I$14</f>
        <v>0</v>
      </c>
      <c r="F54" s="24">
        <f>'SC_Loop 1'!F54</f>
        <v>3.0000000000000001E-3</v>
      </c>
      <c r="G54" s="68">
        <f t="shared" si="4"/>
        <v>0</v>
      </c>
      <c r="H54" s="60"/>
      <c r="I54" s="60"/>
      <c r="J54" s="60" t="str">
        <f>IF(B54&lt;&gt;0,B54," ")</f>
        <v xml:space="preserve"> </v>
      </c>
      <c r="K54" s="60"/>
      <c r="L54" s="123" t="str">
        <f>IF(J54&lt;&gt;0,J54," ")</f>
        <v xml:space="preserve"> </v>
      </c>
      <c r="N54" s="41"/>
    </row>
    <row r="55" spans="1:14" x14ac:dyDescent="0.25">
      <c r="A55" s="22" t="str">
        <f>'SC_Loop 1'!A55</f>
        <v>MAD-490</v>
      </c>
      <c r="B55" s="23"/>
      <c r="C55" s="24">
        <f>'SC_Loop 1'!C55</f>
        <v>2.9999999999999997E-4</v>
      </c>
      <c r="D55" s="68">
        <f t="shared" si="3"/>
        <v>0</v>
      </c>
      <c r="E55" s="233"/>
      <c r="F55" s="24">
        <f>'SC_Loop 1'!F55</f>
        <v>0.05</v>
      </c>
      <c r="G55" s="68">
        <f t="shared" si="4"/>
        <v>0</v>
      </c>
      <c r="H55" s="60"/>
      <c r="I55" s="60"/>
      <c r="J55" s="60"/>
      <c r="K55" s="60"/>
      <c r="L55" s="123"/>
    </row>
    <row r="56" spans="1:14" x14ac:dyDescent="0.25">
      <c r="A56" s="22" t="str">
        <f>'SC_Loop 1'!A56</f>
        <v>PAD-10</v>
      </c>
      <c r="B56" s="23"/>
      <c r="C56" s="24">
        <f>'SC_Loop 1'!C56</f>
        <v>6.2500000000000001E-4</v>
      </c>
      <c r="D56" s="68">
        <f t="shared" si="3"/>
        <v>0</v>
      </c>
      <c r="E56" s="233">
        <f>IF(B56&gt;10,10,B56)</f>
        <v>0</v>
      </c>
      <c r="F56" s="24">
        <f>'SC_Loop 1'!F56</f>
        <v>5.0000000000000001E-3</v>
      </c>
      <c r="G56" s="68">
        <f t="shared" si="4"/>
        <v>0</v>
      </c>
      <c r="H56" s="60"/>
      <c r="I56" s="60"/>
      <c r="J56" s="60"/>
      <c r="K56" s="60"/>
      <c r="L56" s="123"/>
    </row>
    <row r="57" spans="1:14" x14ac:dyDescent="0.25">
      <c r="A57" s="22" t="str">
        <f>'SC_Loop 1'!A57</f>
        <v>PAD-10A-I</v>
      </c>
      <c r="B57" s="23"/>
      <c r="C57" s="24">
        <f>'SC_Loop 1'!C57</f>
        <v>1.85E-4</v>
      </c>
      <c r="D57" s="68">
        <f t="shared" si="3"/>
        <v>0</v>
      </c>
      <c r="E57" s="233">
        <f>IF(B57&gt;10,10,B57)</f>
        <v>0</v>
      </c>
      <c r="F57" s="24">
        <f>'SC_Loop 1'!F57</f>
        <v>4.0000000000000001E-3</v>
      </c>
      <c r="G57" s="68">
        <f t="shared" si="4"/>
        <v>0</v>
      </c>
      <c r="H57" s="60"/>
      <c r="I57" s="60"/>
      <c r="J57" s="60"/>
      <c r="K57" s="60"/>
      <c r="L57" s="123"/>
    </row>
    <row r="58" spans="1:14" x14ac:dyDescent="0.25">
      <c r="A58" s="22" t="str">
        <f>'SC_Loop 1'!A58</f>
        <v>TPLD-100 (CCD-102) = 3 loop address</v>
      </c>
      <c r="B58" s="23"/>
      <c r="C58" s="24">
        <f>'SC_Loop 1'!C58</f>
        <v>2.9999999999999997E-4</v>
      </c>
      <c r="D58" s="68">
        <f t="shared" si="3"/>
        <v>0</v>
      </c>
      <c r="E58" s="233"/>
      <c r="F58" s="24">
        <f>'SC_Loop 1'!F58</f>
        <v>3.0000000000000001E-3</v>
      </c>
      <c r="G58" s="68">
        <f t="shared" si="4"/>
        <v>0</v>
      </c>
      <c r="H58" s="60"/>
      <c r="I58" s="60"/>
      <c r="J58" s="60"/>
      <c r="K58" s="60"/>
      <c r="L58" s="123" t="str">
        <f>IF(B58&lt;&gt;0,3*B58," ")</f>
        <v xml:space="preserve"> </v>
      </c>
    </row>
    <row r="59" spans="1:14" x14ac:dyDescent="0.25">
      <c r="A59" s="22" t="str">
        <f>'SC_Loop 1'!A59</f>
        <v>TPLD-100 (CCD-104) = 5 loop address</v>
      </c>
      <c r="B59" s="23"/>
      <c r="C59" s="24">
        <f>'SC_Loop 1'!C59</f>
        <v>2.9999999999999997E-4</v>
      </c>
      <c r="D59" s="68">
        <f t="shared" si="3"/>
        <v>0</v>
      </c>
      <c r="E59" s="233"/>
      <c r="F59" s="24">
        <f>'SC_Loop 1'!F59</f>
        <v>3.0000000000000001E-3</v>
      </c>
      <c r="G59" s="68">
        <f t="shared" si="4"/>
        <v>0</v>
      </c>
      <c r="H59" s="60"/>
      <c r="I59" s="60"/>
      <c r="J59" s="60"/>
      <c r="K59" s="60"/>
      <c r="L59" s="123" t="str">
        <f>IF(B59&lt;&gt;0,5*B59," ")</f>
        <v xml:space="preserve"> </v>
      </c>
    </row>
    <row r="60" spans="1:14" x14ac:dyDescent="0.25">
      <c r="A60" s="22" t="str">
        <f>'SC_Loop 1'!A60</f>
        <v>TPLD-100 (CCD-108) = 9 loop address</v>
      </c>
      <c r="B60" s="23"/>
      <c r="C60" s="24">
        <f>'SC_Loop 1'!C60</f>
        <v>2.9999999999999997E-4</v>
      </c>
      <c r="D60" s="68">
        <f t="shared" si="3"/>
        <v>0</v>
      </c>
      <c r="E60" s="233"/>
      <c r="F60" s="24">
        <f>'SC_Loop 1'!F60</f>
        <v>3.0000000000000001E-3</v>
      </c>
      <c r="G60" s="68">
        <f t="shared" si="4"/>
        <v>0</v>
      </c>
      <c r="H60" s="60"/>
      <c r="I60" s="60"/>
      <c r="J60" s="60"/>
      <c r="K60" s="60"/>
      <c r="L60" s="123" t="str">
        <f>IF(B60&lt;&gt;0,9*B60," ")</f>
        <v xml:space="preserve"> </v>
      </c>
    </row>
    <row r="61" spans="1:14" x14ac:dyDescent="0.25">
      <c r="A61" s="22" t="str">
        <f>'SC_Loop 1'!A61</f>
        <v>TPLD-100 (CCD-112) = 13 loop address</v>
      </c>
      <c r="B61" s="23"/>
      <c r="C61" s="24">
        <f>'SC_Loop 1'!C61</f>
        <v>2.9999999999999997E-4</v>
      </c>
      <c r="D61" s="68">
        <f t="shared" si="3"/>
        <v>0</v>
      </c>
      <c r="E61" s="233"/>
      <c r="F61" s="24">
        <f>'SC_Loop 1'!F61</f>
        <v>3.0000000000000001E-3</v>
      </c>
      <c r="G61" s="68">
        <f t="shared" si="4"/>
        <v>0</v>
      </c>
      <c r="H61" s="60"/>
      <c r="I61" s="60"/>
      <c r="J61" s="60"/>
      <c r="K61" s="60"/>
      <c r="L61" s="123" t="str">
        <f>IF(B61&lt;&gt;0,13*B61," ")</f>
        <v xml:space="preserve"> </v>
      </c>
    </row>
    <row r="62" spans="1:14" ht="13.8" thickBot="1" x14ac:dyDescent="0.3">
      <c r="A62" s="126" t="str">
        <f>'SC_Loop 1'!A62</f>
        <v>TPLD-100 (CCD-103) = 7 loop address</v>
      </c>
      <c r="B62" s="127"/>
      <c r="C62" s="199">
        <f>'SC_Loop 1'!C62</f>
        <v>2.9999999999999997E-4</v>
      </c>
      <c r="D62" s="128">
        <f t="shared" si="3"/>
        <v>0</v>
      </c>
      <c r="E62" s="235"/>
      <c r="F62" s="199">
        <f>'SC_Loop 1'!F62</f>
        <v>3.0000000000000001E-3</v>
      </c>
      <c r="G62" s="128">
        <f t="shared" si="4"/>
        <v>0</v>
      </c>
      <c r="H62" s="50"/>
      <c r="I62" s="50"/>
      <c r="J62" s="50"/>
      <c r="K62" s="141"/>
      <c r="L62" s="129" t="str">
        <f>IF(B62&lt;&gt;0,7*B62," ")</f>
        <v xml:space="preserve"> </v>
      </c>
    </row>
    <row r="63" spans="1:14" s="7" customFormat="1" ht="13.8" thickBot="1" x14ac:dyDescent="0.3">
      <c r="A63" s="19" t="s">
        <v>8</v>
      </c>
      <c r="B63" s="73">
        <f>SUM(B15:B55)+SUM(L58:L62)</f>
        <v>0</v>
      </c>
      <c r="C63" s="20"/>
      <c r="D63" s="70">
        <f>SUM(D15:D62)</f>
        <v>0</v>
      </c>
      <c r="E63" s="72">
        <f>SUM(E15:E55)</f>
        <v>0</v>
      </c>
      <c r="F63" s="70"/>
      <c r="G63" s="70">
        <f>SUM(G15:G62)</f>
        <v>0</v>
      </c>
      <c r="H63" s="70">
        <f t="shared" ref="H63:L63" si="12">SUM(H15:H62)</f>
        <v>0</v>
      </c>
      <c r="I63" s="73">
        <f t="shared" si="12"/>
        <v>0</v>
      </c>
      <c r="J63" s="73">
        <f t="shared" si="12"/>
        <v>0</v>
      </c>
      <c r="K63" s="73">
        <f t="shared" si="12"/>
        <v>0</v>
      </c>
      <c r="L63" s="142">
        <f t="shared" si="12"/>
        <v>0</v>
      </c>
    </row>
    <row r="64" spans="1:14" s="7" customFormat="1" x14ac:dyDescent="0.25">
      <c r="A64" s="29"/>
      <c r="B64" s="119"/>
      <c r="C64" s="120"/>
      <c r="D64" s="121"/>
      <c r="E64" s="122"/>
      <c r="F64" s="121"/>
      <c r="G64" s="121"/>
      <c r="H64" s="121"/>
      <c r="I64" s="121"/>
      <c r="J64" s="121"/>
      <c r="K64" s="119"/>
      <c r="L64" s="119"/>
    </row>
    <row r="65" spans="1:12" ht="14.4" customHeight="1" thickBot="1" x14ac:dyDescent="0.3">
      <c r="E65" s="32"/>
      <c r="K65" s="150" t="str">
        <f>IF($L$63&gt;250,"Error: The Loop cannot contain more than 250 addresses","")</f>
        <v/>
      </c>
    </row>
    <row r="66" spans="1:12" ht="14.4" customHeight="1" thickBot="1" x14ac:dyDescent="0.3">
      <c r="A66" s="19" t="s">
        <v>137</v>
      </c>
      <c r="B66" s="130"/>
      <c r="C66" s="130"/>
      <c r="D66" s="131"/>
      <c r="E66" s="32"/>
    </row>
    <row r="67" spans="1:12" ht="14.4" customHeight="1" x14ac:dyDescent="0.25">
      <c r="A67" s="111" t="s">
        <v>138</v>
      </c>
      <c r="B67" s="139">
        <v>1.72E-2</v>
      </c>
      <c r="C67" s="52"/>
      <c r="D67" s="134" t="s">
        <v>139</v>
      </c>
      <c r="E67" s="32"/>
    </row>
    <row r="68" spans="1:12" ht="14.4" customHeight="1" x14ac:dyDescent="0.25">
      <c r="A68" s="39" t="s">
        <v>140</v>
      </c>
      <c r="B68" s="137">
        <f>D63</f>
        <v>0</v>
      </c>
      <c r="C68" s="60"/>
      <c r="D68" s="109" t="s">
        <v>9</v>
      </c>
      <c r="E68" s="32"/>
    </row>
    <row r="69" spans="1:12" ht="14.4" customHeight="1" x14ac:dyDescent="0.25">
      <c r="A69" s="39" t="s">
        <v>141</v>
      </c>
      <c r="B69" s="137">
        <f>G63-H63</f>
        <v>0</v>
      </c>
      <c r="C69" s="60"/>
      <c r="D69" s="109" t="s">
        <v>9</v>
      </c>
      <c r="E69" s="32"/>
    </row>
    <row r="70" spans="1:12" ht="14.4" customHeight="1" x14ac:dyDescent="0.25">
      <c r="A70" s="39" t="s">
        <v>142</v>
      </c>
      <c r="B70" s="137">
        <f>H63</f>
        <v>0</v>
      </c>
      <c r="C70" s="60"/>
      <c r="D70" s="109" t="s">
        <v>9</v>
      </c>
      <c r="E70" s="32"/>
    </row>
    <row r="71" spans="1:12" ht="14.4" customHeight="1" x14ac:dyDescent="0.25">
      <c r="A71" s="39" t="s">
        <v>143</v>
      </c>
      <c r="B71" s="137">
        <f>SUM(B68:B70)</f>
        <v>0</v>
      </c>
      <c r="C71" s="60"/>
      <c r="D71" s="109" t="s">
        <v>9</v>
      </c>
      <c r="E71" s="32"/>
    </row>
    <row r="72" spans="1:12" ht="14.4" customHeight="1" thickBot="1" x14ac:dyDescent="0.3">
      <c r="A72" s="140" t="s">
        <v>144</v>
      </c>
      <c r="B72" s="124">
        <v>6.9</v>
      </c>
      <c r="C72" s="124"/>
      <c r="D72" s="34" t="s">
        <v>145</v>
      </c>
      <c r="E72" s="32"/>
    </row>
    <row r="73" spans="1:12" ht="14.4" customHeight="1" thickBot="1" x14ac:dyDescent="0.3">
      <c r="A73" s="17"/>
      <c r="E73" s="32"/>
    </row>
    <row r="74" spans="1:12" ht="14.4" customHeight="1" thickBot="1" x14ac:dyDescent="0.3">
      <c r="A74" s="8" t="s">
        <v>155</v>
      </c>
      <c r="B74" s="147"/>
      <c r="C74" s="147"/>
      <c r="D74" s="147"/>
      <c r="E74" s="162"/>
      <c r="F74" s="147"/>
      <c r="G74" s="147"/>
      <c r="H74" s="147"/>
      <c r="I74" s="147"/>
      <c r="J74" s="147"/>
      <c r="K74" s="148"/>
      <c r="L74" s="151" t="s">
        <v>151</v>
      </c>
    </row>
    <row r="75" spans="1:12" ht="14.4" customHeight="1" x14ac:dyDescent="0.25">
      <c r="A75" s="169" t="s">
        <v>156</v>
      </c>
      <c r="B75" s="52">
        <v>1000</v>
      </c>
      <c r="C75" s="52"/>
      <c r="D75" s="52">
        <v>1500</v>
      </c>
      <c r="E75" s="161"/>
      <c r="F75" s="52"/>
      <c r="G75" s="52">
        <v>2000</v>
      </c>
      <c r="H75" s="52">
        <v>2500</v>
      </c>
      <c r="I75" s="52">
        <v>3000</v>
      </c>
      <c r="J75" s="165">
        <v>3500</v>
      </c>
      <c r="K75" s="152" t="s">
        <v>152</v>
      </c>
    </row>
    <row r="76" spans="1:12" ht="14.4" customHeight="1" x14ac:dyDescent="0.25">
      <c r="A76" s="138" t="s">
        <v>157</v>
      </c>
      <c r="B76" s="154" t="e">
        <f>((($B$67*B75)/B78)*2)</f>
        <v>#DIV/0!</v>
      </c>
      <c r="C76" s="154" t="e">
        <f t="shared" ref="C76:J76" si="13">((($B$67*C75)/C78)*2)</f>
        <v>#DIV/0!</v>
      </c>
      <c r="D76" s="154" t="e">
        <f t="shared" si="13"/>
        <v>#DIV/0!</v>
      </c>
      <c r="E76" s="154" t="e">
        <f t="shared" si="13"/>
        <v>#DIV/0!</v>
      </c>
      <c r="F76" s="154" t="e">
        <f t="shared" si="13"/>
        <v>#DIV/0!</v>
      </c>
      <c r="G76" s="154" t="e">
        <f t="shared" si="13"/>
        <v>#DIV/0!</v>
      </c>
      <c r="H76" s="154" t="e">
        <f t="shared" si="13"/>
        <v>#DIV/0!</v>
      </c>
      <c r="I76" s="154" t="e">
        <f t="shared" si="13"/>
        <v>#DIV/0!</v>
      </c>
      <c r="J76" s="154" t="e">
        <f t="shared" si="13"/>
        <v>#DIV/0!</v>
      </c>
      <c r="K76" s="153" t="s">
        <v>153</v>
      </c>
    </row>
    <row r="77" spans="1:12" ht="14.4" customHeight="1" thickBot="1" x14ac:dyDescent="0.3">
      <c r="A77" s="168" t="s">
        <v>158</v>
      </c>
      <c r="B77" s="154" t="e">
        <f>B76/2</f>
        <v>#DIV/0!</v>
      </c>
      <c r="C77" s="154" t="e">
        <f t="shared" ref="C77:G77" si="14">C76/2</f>
        <v>#DIV/0!</v>
      </c>
      <c r="D77" s="154" t="e">
        <f t="shared" si="14"/>
        <v>#DIV/0!</v>
      </c>
      <c r="E77" s="154" t="e">
        <f t="shared" si="14"/>
        <v>#DIV/0!</v>
      </c>
      <c r="F77" s="154" t="e">
        <f t="shared" si="14"/>
        <v>#DIV/0!</v>
      </c>
      <c r="G77" s="154" t="e">
        <f t="shared" si="14"/>
        <v>#DIV/0!</v>
      </c>
      <c r="H77" s="154" t="e">
        <f>H76/2</f>
        <v>#DIV/0!</v>
      </c>
      <c r="I77" s="154" t="e">
        <f>I76/2</f>
        <v>#DIV/0!</v>
      </c>
      <c r="J77" s="154" t="e">
        <f>J76/2</f>
        <v>#DIV/0!</v>
      </c>
      <c r="K77" s="167" t="s">
        <v>153</v>
      </c>
    </row>
    <row r="78" spans="1:12" ht="14.4" customHeight="1" thickBot="1" x14ac:dyDescent="0.3">
      <c r="A78" s="19" t="s">
        <v>159</v>
      </c>
      <c r="B78" s="194" t="e">
        <f t="shared" ref="B78:J78" si="15">IF((($B$67*B$75)/(($B$72-((SUM($B$16,$B$18,$B$20,$B$22)*0.155)*$B$71))/$B$71))&lt;0.5,0.5,(($B$67*B$75)/(($B$72-((SUM($B$16,$B$18,$B$20,$B$22)*0.155)*$B$71))/$B$71)))</f>
        <v>#DIV/0!</v>
      </c>
      <c r="C78" s="194" t="e">
        <f t="shared" si="15"/>
        <v>#DIV/0!</v>
      </c>
      <c r="D78" s="194" t="e">
        <f t="shared" si="15"/>
        <v>#DIV/0!</v>
      </c>
      <c r="E78" s="194" t="e">
        <f t="shared" si="15"/>
        <v>#DIV/0!</v>
      </c>
      <c r="F78" s="194" t="e">
        <f t="shared" si="15"/>
        <v>#DIV/0!</v>
      </c>
      <c r="G78" s="194" t="e">
        <f t="shared" si="15"/>
        <v>#DIV/0!</v>
      </c>
      <c r="H78" s="194" t="e">
        <f t="shared" si="15"/>
        <v>#DIV/0!</v>
      </c>
      <c r="I78" s="194" t="e">
        <f t="shared" si="15"/>
        <v>#DIV/0!</v>
      </c>
      <c r="J78" s="194" t="e">
        <f t="shared" si="15"/>
        <v>#DIV/0!</v>
      </c>
      <c r="K78" s="108" t="s">
        <v>131</v>
      </c>
    </row>
    <row r="79" spans="1:12" ht="14.4" customHeight="1" thickBot="1" x14ac:dyDescent="0.3">
      <c r="A79" s="17"/>
      <c r="E79" s="32"/>
    </row>
    <row r="80" spans="1:12" ht="14.4" customHeight="1" thickBot="1" x14ac:dyDescent="0.3">
      <c r="A80" s="8" t="s">
        <v>160</v>
      </c>
      <c r="B80" s="147"/>
      <c r="C80" s="147"/>
      <c r="D80" s="147"/>
      <c r="E80" s="162"/>
      <c r="F80" s="147"/>
      <c r="G80" s="147"/>
      <c r="H80" s="147"/>
      <c r="I80" s="147"/>
      <c r="J80" s="147"/>
      <c r="K80" s="148"/>
      <c r="L80" s="151" t="s">
        <v>154</v>
      </c>
    </row>
    <row r="81" spans="1:11" ht="14.4" customHeight="1" x14ac:dyDescent="0.25">
      <c r="A81" s="163" t="s">
        <v>161</v>
      </c>
      <c r="B81" s="48">
        <v>0.5</v>
      </c>
      <c r="C81" s="52"/>
      <c r="D81" s="52">
        <v>0.75</v>
      </c>
      <c r="E81" s="161"/>
      <c r="F81" s="52"/>
      <c r="G81" s="52">
        <v>1</v>
      </c>
      <c r="H81" s="52">
        <v>1.5</v>
      </c>
      <c r="I81" s="52">
        <v>2.5</v>
      </c>
      <c r="J81" s="165">
        <v>4</v>
      </c>
      <c r="K81" s="152" t="s">
        <v>131</v>
      </c>
    </row>
    <row r="82" spans="1:11" ht="14.4" customHeight="1" x14ac:dyDescent="0.25">
      <c r="A82" s="164" t="s">
        <v>157</v>
      </c>
      <c r="B82" s="154" t="e">
        <f t="shared" ref="B82:J82" si="16">$B$67*B84/B81*2</f>
        <v>#DIV/0!</v>
      </c>
      <c r="C82" s="154" t="e">
        <f t="shared" si="16"/>
        <v>#DIV/0!</v>
      </c>
      <c r="D82" s="154" t="e">
        <f t="shared" si="16"/>
        <v>#DIV/0!</v>
      </c>
      <c r="E82" s="154" t="e">
        <f t="shared" si="16"/>
        <v>#DIV/0!</v>
      </c>
      <c r="F82" s="154" t="e">
        <f t="shared" si="16"/>
        <v>#DIV/0!</v>
      </c>
      <c r="G82" s="154" t="e">
        <f t="shared" si="16"/>
        <v>#DIV/0!</v>
      </c>
      <c r="H82" s="154" t="e">
        <f t="shared" si="16"/>
        <v>#DIV/0!</v>
      </c>
      <c r="I82" s="154" t="e">
        <f t="shared" si="16"/>
        <v>#DIV/0!</v>
      </c>
      <c r="J82" s="154" t="e">
        <f t="shared" si="16"/>
        <v>#DIV/0!</v>
      </c>
      <c r="K82" s="153" t="s">
        <v>153</v>
      </c>
    </row>
    <row r="83" spans="1:11" ht="14.4" customHeight="1" thickBot="1" x14ac:dyDescent="0.3">
      <c r="A83" s="166" t="s">
        <v>158</v>
      </c>
      <c r="B83" s="154" t="e">
        <f>B82/2</f>
        <v>#DIV/0!</v>
      </c>
      <c r="C83" s="154" t="e">
        <f t="shared" ref="C83:G83" si="17">C82/2</f>
        <v>#DIV/0!</v>
      </c>
      <c r="D83" s="154" t="e">
        <f t="shared" si="17"/>
        <v>#DIV/0!</v>
      </c>
      <c r="E83" s="154" t="e">
        <f t="shared" si="17"/>
        <v>#DIV/0!</v>
      </c>
      <c r="F83" s="154" t="e">
        <f t="shared" si="17"/>
        <v>#DIV/0!</v>
      </c>
      <c r="G83" s="154" t="e">
        <f t="shared" si="17"/>
        <v>#DIV/0!</v>
      </c>
      <c r="H83" s="154" t="e">
        <f>H82/2</f>
        <v>#DIV/0!</v>
      </c>
      <c r="I83" s="154" t="e">
        <f>I82/2</f>
        <v>#DIV/0!</v>
      </c>
      <c r="J83" s="154" t="e">
        <f>J82/2</f>
        <v>#DIV/0!</v>
      </c>
      <c r="K83" s="167" t="s">
        <v>153</v>
      </c>
    </row>
    <row r="84" spans="1:11" ht="14.4" customHeight="1" thickBot="1" x14ac:dyDescent="0.3">
      <c r="A84" s="108" t="s">
        <v>162</v>
      </c>
      <c r="B84" s="194" t="e">
        <f t="shared" ref="B84:J84" si="18">IF((((($B$72-((SUM($B$16,$B$18,$B$20,$B$22)*0.155)*$B$71))/$B$71)*B$81)/$B$67)&gt;3500,3500,(((($B$72-((SUM($B$16,$B$18,$B$20,$B$22)*0.155)*$B$71))/$B$71)*B$81)/$B$67))</f>
        <v>#DIV/0!</v>
      </c>
      <c r="C84" s="194" t="e">
        <f t="shared" si="18"/>
        <v>#DIV/0!</v>
      </c>
      <c r="D84" s="194" t="e">
        <f t="shared" si="18"/>
        <v>#DIV/0!</v>
      </c>
      <c r="E84" s="194" t="e">
        <f t="shared" si="18"/>
        <v>#DIV/0!</v>
      </c>
      <c r="F84" s="194" t="e">
        <f t="shared" si="18"/>
        <v>#DIV/0!</v>
      </c>
      <c r="G84" s="194" t="e">
        <f t="shared" si="18"/>
        <v>#DIV/0!</v>
      </c>
      <c r="H84" s="194" t="e">
        <f t="shared" si="18"/>
        <v>#DIV/0!</v>
      </c>
      <c r="I84" s="194" t="e">
        <f t="shared" si="18"/>
        <v>#DIV/0!</v>
      </c>
      <c r="J84" s="194" t="e">
        <f t="shared" si="18"/>
        <v>#DIV/0!</v>
      </c>
      <c r="K84" s="108" t="s">
        <v>152</v>
      </c>
    </row>
    <row r="85" spans="1:11" ht="14.4" customHeight="1" thickBot="1" x14ac:dyDescent="0.3">
      <c r="A85" s="17"/>
      <c r="E85" s="32"/>
    </row>
    <row r="86" spans="1:11" ht="14.4" customHeight="1" thickBot="1" x14ac:dyDescent="0.3">
      <c r="A86" s="8" t="s">
        <v>163</v>
      </c>
      <c r="B86" s="147"/>
      <c r="C86" s="147"/>
      <c r="D86" s="148"/>
      <c r="E86" s="32"/>
    </row>
    <row r="87" spans="1:11" ht="14.4" customHeight="1" x14ac:dyDescent="0.25">
      <c r="A87" s="158" t="s">
        <v>164</v>
      </c>
      <c r="B87" s="52">
        <f>$B$8</f>
        <v>1.5</v>
      </c>
      <c r="C87" s="52"/>
      <c r="D87" s="114" t="s">
        <v>131</v>
      </c>
      <c r="E87" s="32"/>
      <c r="H87" s="150" t="str">
        <f>IF(B87&lt;0.5,"Error: The Minimum Cable Seccion in the Loop is 0,5 mm2","")</f>
        <v/>
      </c>
    </row>
    <row r="88" spans="1:11" ht="14.4" customHeight="1" x14ac:dyDescent="0.25">
      <c r="A88" s="39" t="s">
        <v>165</v>
      </c>
      <c r="B88" s="60">
        <f>$B$9</f>
        <v>2000</v>
      </c>
      <c r="C88" s="60"/>
      <c r="D88" s="109" t="s">
        <v>131</v>
      </c>
      <c r="E88" s="32"/>
      <c r="H88" s="150" t="str">
        <f>IF(B88&gt;3500,"Error: The Maximum Lenght in the Line is 3500 meters","")</f>
        <v/>
      </c>
    </row>
    <row r="89" spans="1:11" ht="14.4" customHeight="1" x14ac:dyDescent="0.25">
      <c r="A89" s="39" t="s">
        <v>166</v>
      </c>
      <c r="B89" s="156">
        <f>((($B$67*B88)/B87)*2)+(SUM(B16,B18,B20,B22,)*0.155)</f>
        <v>45.866666666666667</v>
      </c>
      <c r="C89" s="60"/>
      <c r="D89" s="123" t="s">
        <v>153</v>
      </c>
      <c r="E89" s="32"/>
    </row>
    <row r="90" spans="1:11" ht="14.4" customHeight="1" thickBot="1" x14ac:dyDescent="0.3">
      <c r="A90" s="140" t="s">
        <v>167</v>
      </c>
      <c r="B90" s="155">
        <f>B89/2</f>
        <v>22.933333333333334</v>
      </c>
      <c r="C90" s="124"/>
      <c r="D90" s="125" t="s">
        <v>153</v>
      </c>
      <c r="E90" s="32"/>
    </row>
    <row r="91" spans="1:11" ht="14.4" customHeight="1" thickBot="1" x14ac:dyDescent="0.3">
      <c r="A91" s="170" t="s">
        <v>168</v>
      </c>
      <c r="B91" s="172">
        <f>$B$72/$B$90</f>
        <v>0.30087209302325585</v>
      </c>
      <c r="C91" s="171"/>
      <c r="D91" s="173" t="s">
        <v>9</v>
      </c>
      <c r="E91" s="32"/>
    </row>
    <row r="92" spans="1:11" ht="14.4" customHeight="1" thickBot="1" x14ac:dyDescent="0.3">
      <c r="A92" s="160" t="s">
        <v>134</v>
      </c>
      <c r="B92" s="147"/>
      <c r="C92" s="147"/>
      <c r="D92" s="148"/>
      <c r="E92" s="32"/>
    </row>
    <row r="93" spans="1:11" ht="14.4" customHeight="1" thickBot="1" x14ac:dyDescent="0.3">
      <c r="A93" s="160" t="s">
        <v>135</v>
      </c>
      <c r="B93" s="148"/>
      <c r="C93" s="11"/>
      <c r="D93" s="159" t="str">
        <f>IF($B$71&gt;0.4,"FAIL",IF($B$91&gt;=$B$71,"OK","FAIL"))</f>
        <v>OK</v>
      </c>
      <c r="E93" s="32"/>
      <c r="H93" s="150" t="str">
        <f>IF($B$71&gt;0.4,"Error: The Loop Current is upper that Maximum Current allowed",IF($B$91&lt;$B$71,"Error: The Loop Current is upper that Maximum Current allowed",""))</f>
        <v/>
      </c>
    </row>
    <row r="94" spans="1:11" ht="14.4" customHeight="1" thickBot="1" x14ac:dyDescent="0.3">
      <c r="A94" s="160" t="s">
        <v>136</v>
      </c>
      <c r="B94" s="148"/>
      <c r="C94" s="136"/>
      <c r="D94" s="157" t="str">
        <f>IF($L$63&lt;=250,"OK","FAIL")</f>
        <v>OK</v>
      </c>
      <c r="E94" s="32"/>
      <c r="H94" s="150" t="str">
        <f>IF($L$63&gt;250,"Error: The Loop cannot contain more than 250 addresses","")</f>
        <v/>
      </c>
    </row>
    <row r="95" spans="1:11" ht="14.4" customHeight="1" x14ac:dyDescent="0.25">
      <c r="A95" s="17"/>
      <c r="E95" s="32"/>
    </row>
    <row r="97" spans="1:12" ht="27" customHeight="1" x14ac:dyDescent="0.25">
      <c r="A97" s="238" t="s">
        <v>13</v>
      </c>
      <c r="B97" s="238"/>
      <c r="C97" s="238"/>
      <c r="D97" s="238"/>
      <c r="E97" s="238"/>
      <c r="F97" s="238"/>
      <c r="G97" s="238"/>
      <c r="H97" s="238"/>
      <c r="I97" s="238"/>
      <c r="J97" s="238"/>
      <c r="K97" s="238"/>
      <c r="L97" s="238"/>
    </row>
  </sheetData>
  <sheetProtection algorithmName="SHA-512" hashValue="XD+oA26AIuFLQobSlaK2SA7cA+vg9PnoUDrajMNuWYRtdUkhDLOHl0fca43BgyM7+ahZ8U5DedFIWhpv2NG3Sw==" saltValue="X1jThT9LZgG/bPgUu9d4Mw==" spinCount="100000" sheet="1" sort="0" autoFilter="0" pivotTables="0"/>
  <mergeCells count="5">
    <mergeCell ref="J7:K7"/>
    <mergeCell ref="G8:I9"/>
    <mergeCell ref="J8:K8"/>
    <mergeCell ref="J9:K9"/>
    <mergeCell ref="A97:L97"/>
  </mergeCells>
  <conditionalFormatting sqref="I43 N39:N42">
    <cfRule type="expression" dxfId="77" priority="24" stopIfTrue="1">
      <formula>$B$38&gt;2</formula>
    </cfRule>
    <cfRule type="expression" dxfId="76" priority="25" stopIfTrue="1">
      <formula>$B$38&lt;3</formula>
    </cfRule>
  </conditionalFormatting>
  <conditionalFormatting sqref="N35:N36">
    <cfRule type="expression" dxfId="75" priority="22" stopIfTrue="1">
      <formula>$B$37&gt;4</formula>
    </cfRule>
    <cfRule type="expression" dxfId="74" priority="23" stopIfTrue="1">
      <formula>$B$37&lt;5</formula>
    </cfRule>
  </conditionalFormatting>
  <conditionalFormatting sqref="N33">
    <cfRule type="expression" dxfId="73" priority="20" stopIfTrue="1">
      <formula>$B$38&gt;2</formula>
    </cfRule>
    <cfRule type="expression" dxfId="72" priority="21" stopIfTrue="1">
      <formula>$B$38&lt;3</formula>
    </cfRule>
  </conditionalFormatting>
  <conditionalFormatting sqref="N34">
    <cfRule type="expression" dxfId="71" priority="18" stopIfTrue="1">
      <formula>$B$38&gt;2</formula>
    </cfRule>
    <cfRule type="expression" dxfId="70" priority="19" stopIfTrue="1">
      <formula>$B$38&lt;3</formula>
    </cfRule>
  </conditionalFormatting>
  <conditionalFormatting sqref="N38">
    <cfRule type="expression" dxfId="69" priority="14" stopIfTrue="1">
      <formula>$B$38&gt;2</formula>
    </cfRule>
    <cfRule type="expression" dxfId="68" priority="15" stopIfTrue="1">
      <formula>$B$38&lt;3</formula>
    </cfRule>
  </conditionalFormatting>
  <conditionalFormatting sqref="N37">
    <cfRule type="expression" dxfId="67" priority="16" stopIfTrue="1">
      <formula>$B$38&gt;2</formula>
    </cfRule>
    <cfRule type="expression" dxfId="66" priority="17" stopIfTrue="1">
      <formula>$B$38&lt;3</formula>
    </cfRule>
  </conditionalFormatting>
  <conditionalFormatting sqref="J15:J45 J52:J62">
    <cfRule type="cellIs" dxfId="65" priority="13" operator="equal">
      <formula>0</formula>
    </cfRule>
  </conditionalFormatting>
  <conditionalFormatting sqref="L9">
    <cfRule type="cellIs" dxfId="64" priority="9" stopIfTrue="1" operator="equal">
      <formula>"FAIL"</formula>
    </cfRule>
  </conditionalFormatting>
  <conditionalFormatting sqref="D93">
    <cfRule type="cellIs" dxfId="63" priority="12" stopIfTrue="1" operator="equal">
      <formula>"FAIL"</formula>
    </cfRule>
  </conditionalFormatting>
  <conditionalFormatting sqref="D94">
    <cfRule type="cellIs" dxfId="62" priority="11" stopIfTrue="1" operator="equal">
      <formula>"FAIL"</formula>
    </cfRule>
  </conditionalFormatting>
  <conditionalFormatting sqref="L8">
    <cfRule type="cellIs" dxfId="61" priority="10" stopIfTrue="1" operator="equal">
      <formula>"FAIL"</formula>
    </cfRule>
  </conditionalFormatting>
  <conditionalFormatting sqref="B76:J77">
    <cfRule type="containsErrors" dxfId="60" priority="8">
      <formula>ISERROR(B76)</formula>
    </cfRule>
  </conditionalFormatting>
  <conditionalFormatting sqref="B82:J83">
    <cfRule type="containsErrors" dxfId="59" priority="7">
      <formula>ISERROR(B82)</formula>
    </cfRule>
  </conditionalFormatting>
  <conditionalFormatting sqref="B78">
    <cfRule type="containsErrors" dxfId="58" priority="26">
      <formula>ISERROR(B78)</formula>
    </cfRule>
  </conditionalFormatting>
  <conditionalFormatting sqref="D78:J78">
    <cfRule type="containsErrors" dxfId="57" priority="6">
      <formula>ISERROR(D78)</formula>
    </cfRule>
  </conditionalFormatting>
  <conditionalFormatting sqref="B84">
    <cfRule type="containsErrors" dxfId="56" priority="5">
      <formula>ISERROR(B84)</formula>
    </cfRule>
  </conditionalFormatting>
  <conditionalFormatting sqref="D84:J84">
    <cfRule type="containsErrors" dxfId="55" priority="4">
      <formula>ISERROR(D84)</formula>
    </cfRule>
  </conditionalFormatting>
  <conditionalFormatting sqref="N54">
    <cfRule type="expression" dxfId="54" priority="2" stopIfTrue="1">
      <formula>$B$37&gt;4</formula>
    </cfRule>
    <cfRule type="expression" dxfId="53" priority="3" stopIfTrue="1">
      <formula>$B$37&lt;5</formula>
    </cfRule>
  </conditionalFormatting>
  <conditionalFormatting sqref="J46:J51">
    <cfRule type="cellIs" dxfId="52" priority="1" operator="equal">
      <formula>0</formula>
    </cfRule>
  </conditionalFormatting>
  <pageMargins left="0.78740157480314965" right="0.39370078740157483" top="0.39370078740157483" bottom="0.39370078740157483" header="0" footer="0"/>
  <pageSetup paperSize="9" scale="87" orientation="portrait" horizontalDpi="1200" verticalDpi="12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84D639A-466C-4A35-BBC7-DE1E19443251}">
          <x14:formula1>
            <xm:f>Datos!$F$16:$F$20</xm:f>
          </x14:formula1>
          <xm:sqref>B8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B7936-69FB-4865-B377-1FAFE0A714C4}">
  <sheetPr codeName="Hoja9">
    <pageSetUpPr fitToPage="1"/>
  </sheetPr>
  <dimension ref="A1:N97"/>
  <sheetViews>
    <sheetView zoomScale="120" zoomScaleNormal="120" workbookViewId="0">
      <pane xSplit="12" ySplit="14" topLeftCell="M15" activePane="bottomRight" state="frozen"/>
      <selection activeCell="A64" sqref="A64"/>
      <selection pane="topRight" activeCell="A64" sqref="A64"/>
      <selection pane="bottomLeft" activeCell="A64" sqref="A64"/>
      <selection pane="bottomRight" activeCell="D15" sqref="D15"/>
    </sheetView>
  </sheetViews>
  <sheetFormatPr baseColWidth="10" defaultRowHeight="13.2" x14ac:dyDescent="0.25"/>
  <cols>
    <col min="1" max="1" width="35.109375" customWidth="1"/>
    <col min="2" max="2" width="10.6640625" customWidth="1"/>
    <col min="3" max="3" width="11.109375" hidden="1" customWidth="1"/>
    <col min="4" max="4" width="12.77734375" bestFit="1" customWidth="1"/>
    <col min="5" max="6" width="10.6640625" hidden="1" customWidth="1"/>
    <col min="7" max="7" width="10.5546875" bestFit="1" customWidth="1"/>
    <col min="8" max="8" width="10.6640625" customWidth="1"/>
    <col min="9" max="9" width="5.5546875" bestFit="1" customWidth="1"/>
    <col min="10" max="10" width="7" customWidth="1"/>
    <col min="11" max="11" width="6.44140625" customWidth="1"/>
    <col min="12" max="12" width="6.5546875" customWidth="1"/>
    <col min="14" max="16" width="11.5546875" customWidth="1"/>
  </cols>
  <sheetData>
    <row r="1" spans="1:14" x14ac:dyDescent="0.25">
      <c r="H1" s="1"/>
      <c r="I1" s="2"/>
      <c r="J1" s="2"/>
      <c r="K1" s="2"/>
    </row>
    <row r="2" spans="1:14" x14ac:dyDescent="0.25">
      <c r="H2" s="1"/>
      <c r="I2" s="2"/>
      <c r="J2" s="2"/>
      <c r="K2" s="2"/>
    </row>
    <row r="3" spans="1:14" ht="14.4" x14ac:dyDescent="0.3">
      <c r="A3" s="3"/>
      <c r="H3" s="1"/>
      <c r="I3" s="2"/>
      <c r="J3" s="2"/>
      <c r="K3" s="2"/>
    </row>
    <row r="4" spans="1:14" ht="14.4" x14ac:dyDescent="0.3">
      <c r="A4" s="3"/>
      <c r="H4" s="1"/>
      <c r="I4" s="2"/>
      <c r="J4" s="2"/>
      <c r="K4" s="2"/>
    </row>
    <row r="5" spans="1:14" s="7" customFormat="1" ht="13.8" thickBot="1" x14ac:dyDescent="0.3">
      <c r="A5" s="4" t="str">
        <f>'System Calculation'!A7</f>
        <v>SYSTEM CALCULATOR DETNOV CAD-150 EXCEL TOOL</v>
      </c>
      <c r="B5" s="4"/>
      <c r="C5" s="4"/>
      <c r="D5" s="4"/>
      <c r="E5" s="4"/>
      <c r="F5" s="4"/>
      <c r="G5" s="4"/>
      <c r="H5" s="6"/>
      <c r="I5" s="5"/>
      <c r="J5" s="5"/>
      <c r="K5" s="5"/>
      <c r="L5" s="16" t="str">
        <f>'System Calculation'!J7</f>
        <v>SC 116 en 2019 f</v>
      </c>
    </row>
    <row r="6" spans="1:14" s="7" customFormat="1" ht="13.8" thickBot="1" x14ac:dyDescent="0.3">
      <c r="B6" s="29"/>
      <c r="C6" s="29"/>
      <c r="D6" s="29"/>
      <c r="E6" s="29"/>
      <c r="F6" s="29"/>
      <c r="G6" s="29"/>
      <c r="H6" s="36"/>
      <c r="I6" s="37"/>
      <c r="J6" s="37"/>
      <c r="K6" s="37"/>
      <c r="L6" s="38"/>
    </row>
    <row r="7" spans="1:14" s="7" customFormat="1" ht="13.8" thickBot="1" x14ac:dyDescent="0.3">
      <c r="A7" s="19" t="s">
        <v>62</v>
      </c>
      <c r="B7" s="115"/>
      <c r="C7" s="115"/>
      <c r="D7" s="116"/>
      <c r="E7" s="29"/>
      <c r="F7" s="29"/>
      <c r="G7" s="29"/>
      <c r="H7" s="36"/>
      <c r="J7" s="239" t="s">
        <v>134</v>
      </c>
      <c r="K7" s="243"/>
      <c r="L7" s="135"/>
      <c r="M7" s="38"/>
    </row>
    <row r="8" spans="1:14" s="7" customFormat="1" ht="13.8" thickBot="1" x14ac:dyDescent="0.3">
      <c r="A8" s="111" t="s">
        <v>129</v>
      </c>
      <c r="B8" s="117">
        <v>1.5</v>
      </c>
      <c r="C8" s="113"/>
      <c r="D8" s="114" t="s">
        <v>131</v>
      </c>
      <c r="E8" s="29"/>
      <c r="F8" s="29"/>
      <c r="G8" s="244" t="str">
        <f>IF(B9&gt;3500,"Error: The Maximum Lenght in the Line is 3500 m","")</f>
        <v/>
      </c>
      <c r="H8" s="244"/>
      <c r="I8" s="245"/>
      <c r="J8" s="239" t="s">
        <v>135</v>
      </c>
      <c r="K8" s="240"/>
      <c r="L8" s="159" t="str">
        <f>IF($B$71&gt;0.4,"FAIL",IF($B$91&gt;=$B$71,"OK","FAIL"))</f>
        <v>OK</v>
      </c>
      <c r="N8" s="150" t="str">
        <f>IF($B$71&gt;0.4,"Error: The Loop Current is upper that Maximum Current allowed",IF($B$91&lt;$B$71,"Error: The Loop Current is upper that Maximum Current allowed",""))</f>
        <v/>
      </c>
    </row>
    <row r="9" spans="1:14" s="7" customFormat="1" ht="13.8" thickBot="1" x14ac:dyDescent="0.3">
      <c r="A9" s="26" t="s">
        <v>130</v>
      </c>
      <c r="B9" s="118">
        <v>2000</v>
      </c>
      <c r="C9" s="110"/>
      <c r="D9" s="34" t="s">
        <v>132</v>
      </c>
      <c r="E9" s="29"/>
      <c r="F9" s="29"/>
      <c r="G9" s="244"/>
      <c r="H9" s="244"/>
      <c r="I9" s="245"/>
      <c r="J9" s="241" t="s">
        <v>136</v>
      </c>
      <c r="K9" s="242"/>
      <c r="L9" s="157" t="str">
        <f>IF($L$63&lt;=250,"OK","FAIL")</f>
        <v>OK</v>
      </c>
      <c r="N9" s="150" t="str">
        <f>IF($L$63&gt;250,"Error: The Loop cannot contain more than 250 addresses","")</f>
        <v/>
      </c>
    </row>
    <row r="10" spans="1:14" s="7" customFormat="1" x14ac:dyDescent="0.25">
      <c r="A10" s="149" t="s">
        <v>150</v>
      </c>
      <c r="B10" s="29"/>
      <c r="C10" s="29"/>
      <c r="D10" s="29"/>
      <c r="E10" s="29"/>
      <c r="F10" s="29"/>
      <c r="G10" s="29"/>
      <c r="H10" s="36"/>
      <c r="I10" s="37"/>
      <c r="J10" s="37"/>
      <c r="K10" s="37"/>
      <c r="L10" s="38"/>
    </row>
    <row r="11" spans="1:14" s="7" customFormat="1" x14ac:dyDescent="0.25">
      <c r="A11" s="149"/>
      <c r="B11" s="29"/>
      <c r="C11" s="29"/>
      <c r="D11" s="29"/>
      <c r="E11" s="29"/>
      <c r="F11" s="29"/>
      <c r="G11" s="29"/>
      <c r="H11" s="36"/>
      <c r="I11" s="37"/>
      <c r="J11" s="37"/>
      <c r="K11" s="37"/>
      <c r="L11" s="38"/>
    </row>
    <row r="12" spans="1:14" ht="13.8" thickBot="1" x14ac:dyDescent="0.3">
      <c r="B12" s="40" t="s">
        <v>10</v>
      </c>
      <c r="C12" s="15" t="s">
        <v>10</v>
      </c>
    </row>
    <row r="13" spans="1:14" ht="13.8" thickBot="1" x14ac:dyDescent="0.3">
      <c r="A13" s="8" t="s">
        <v>178</v>
      </c>
      <c r="B13" s="9"/>
      <c r="C13" s="9"/>
      <c r="D13" s="9"/>
      <c r="E13" s="9"/>
      <c r="F13" s="9"/>
      <c r="G13" s="9"/>
      <c r="H13" s="147"/>
      <c r="I13" s="147"/>
      <c r="J13" s="147"/>
      <c r="K13" s="147"/>
      <c r="L13" s="148"/>
    </row>
    <row r="14" spans="1:14" s="7" customFormat="1" ht="13.8" thickBot="1" x14ac:dyDescent="0.3">
      <c r="A14" s="143" t="s">
        <v>0</v>
      </c>
      <c r="B14" s="144" t="s">
        <v>1</v>
      </c>
      <c r="C14" s="144" t="s">
        <v>38</v>
      </c>
      <c r="D14" s="144" t="s">
        <v>38</v>
      </c>
      <c r="E14" s="144" t="s">
        <v>110</v>
      </c>
      <c r="F14" s="144" t="s">
        <v>39</v>
      </c>
      <c r="G14" s="144" t="s">
        <v>39</v>
      </c>
      <c r="H14" s="145" t="s">
        <v>133</v>
      </c>
      <c r="I14" s="145" t="s">
        <v>146</v>
      </c>
      <c r="J14" s="145" t="s">
        <v>147</v>
      </c>
      <c r="K14" s="145" t="s">
        <v>148</v>
      </c>
      <c r="L14" s="146" t="s">
        <v>149</v>
      </c>
    </row>
    <row r="15" spans="1:14" x14ac:dyDescent="0.25">
      <c r="A15" s="132" t="str">
        <f>'SC_Loop 1'!A15</f>
        <v>DOD-220A</v>
      </c>
      <c r="B15" s="112"/>
      <c r="C15" s="198">
        <f>'SC_Loop 1'!C15</f>
        <v>2.9999999999999997E-4</v>
      </c>
      <c r="D15" s="133">
        <f>B15*C15</f>
        <v>0</v>
      </c>
      <c r="E15" s="234">
        <f>IF(B15&gt;10,10,B15)</f>
        <v>0</v>
      </c>
      <c r="F15" s="198">
        <f>'SC_Loop 1'!F15</f>
        <v>3.0000000000000001E-3</v>
      </c>
      <c r="G15" s="133">
        <f>E15*F15</f>
        <v>0</v>
      </c>
      <c r="H15" s="52"/>
      <c r="I15" s="52" t="str">
        <f t="shared" ref="I15:I26" si="0">IF(B15&lt;&gt;0,B15," ")</f>
        <v xml:space="preserve"> </v>
      </c>
      <c r="J15" s="52"/>
      <c r="K15" s="52"/>
      <c r="L15" s="134" t="str">
        <f>IF(I15&lt;&gt;0,I15," ")</f>
        <v xml:space="preserve"> </v>
      </c>
    </row>
    <row r="16" spans="1:14" x14ac:dyDescent="0.25">
      <c r="A16" s="22" t="str">
        <f>'SC_Loop 1'!A16</f>
        <v>DOD-220A-I</v>
      </c>
      <c r="B16" s="23"/>
      <c r="C16" s="24">
        <f>'SC_Loop 1'!C16</f>
        <v>2.9999999999999997E-4</v>
      </c>
      <c r="D16" s="68">
        <f>B16*C16</f>
        <v>0</v>
      </c>
      <c r="E16" s="234">
        <f t="shared" ref="E16:E22" si="1">IF(B16&gt;10,10,B16)</f>
        <v>0</v>
      </c>
      <c r="F16" s="24">
        <f>'SC_Loop 1'!F16</f>
        <v>3.0000000000000001E-3</v>
      </c>
      <c r="G16" s="68">
        <f>E16*F16</f>
        <v>0</v>
      </c>
      <c r="H16" s="60"/>
      <c r="I16" s="60" t="str">
        <f t="shared" si="0"/>
        <v xml:space="preserve"> </v>
      </c>
      <c r="J16" s="60"/>
      <c r="K16" s="60"/>
      <c r="L16" s="123" t="str">
        <f t="shared" ref="L16:L26" si="2">IF(I16&lt;&gt;0,I16," ")</f>
        <v xml:space="preserve"> </v>
      </c>
    </row>
    <row r="17" spans="1:12" x14ac:dyDescent="0.25">
      <c r="A17" s="22" t="str">
        <f>'SC_Loop 1'!A17</f>
        <v>DOTD-230A</v>
      </c>
      <c r="B17" s="23"/>
      <c r="C17" s="24">
        <f>'SC_Loop 1'!C17</f>
        <v>2.9999999999999997E-4</v>
      </c>
      <c r="D17" s="68">
        <f t="shared" ref="D17:D62" si="3">B17*C17</f>
        <v>0</v>
      </c>
      <c r="E17" s="234">
        <f t="shared" si="1"/>
        <v>0</v>
      </c>
      <c r="F17" s="24">
        <f>'SC_Loop 1'!F17</f>
        <v>3.0000000000000001E-3</v>
      </c>
      <c r="G17" s="68">
        <f t="shared" ref="G17:G62" si="4">E17*F17</f>
        <v>0</v>
      </c>
      <c r="H17" s="60"/>
      <c r="I17" s="60" t="str">
        <f t="shared" si="0"/>
        <v xml:space="preserve"> </v>
      </c>
      <c r="J17" s="60"/>
      <c r="K17" s="60"/>
      <c r="L17" s="123" t="str">
        <f t="shared" si="2"/>
        <v xml:space="preserve"> </v>
      </c>
    </row>
    <row r="18" spans="1:12" x14ac:dyDescent="0.25">
      <c r="A18" s="22" t="str">
        <f>'SC_Loop 1'!A18</f>
        <v>DOTD-230A-I</v>
      </c>
      <c r="B18" s="23"/>
      <c r="C18" s="24">
        <f>'SC_Loop 1'!C18</f>
        <v>2.9999999999999997E-4</v>
      </c>
      <c r="D18" s="68">
        <f t="shared" si="3"/>
        <v>0</v>
      </c>
      <c r="E18" s="234">
        <f t="shared" si="1"/>
        <v>0</v>
      </c>
      <c r="F18" s="24">
        <f>'SC_Loop 1'!F18</f>
        <v>3.0000000000000001E-3</v>
      </c>
      <c r="G18" s="68">
        <f t="shared" si="4"/>
        <v>0</v>
      </c>
      <c r="H18" s="60"/>
      <c r="I18" s="60" t="str">
        <f t="shared" si="0"/>
        <v xml:space="preserve"> </v>
      </c>
      <c r="J18" s="60"/>
      <c r="K18" s="60"/>
      <c r="L18" s="123" t="str">
        <f t="shared" si="2"/>
        <v xml:space="preserve"> </v>
      </c>
    </row>
    <row r="19" spans="1:12" x14ac:dyDescent="0.25">
      <c r="A19" s="22" t="str">
        <f>'SC_Loop 1'!A19</f>
        <v>DTD-210A</v>
      </c>
      <c r="B19" s="23"/>
      <c r="C19" s="24">
        <f>'SC_Loop 1'!C19</f>
        <v>2.9999999999999997E-4</v>
      </c>
      <c r="D19" s="68">
        <f t="shared" si="3"/>
        <v>0</v>
      </c>
      <c r="E19" s="234">
        <f t="shared" si="1"/>
        <v>0</v>
      </c>
      <c r="F19" s="24">
        <f>'SC_Loop 1'!F19</f>
        <v>3.0000000000000001E-3</v>
      </c>
      <c r="G19" s="68">
        <f t="shared" si="4"/>
        <v>0</v>
      </c>
      <c r="H19" s="60"/>
      <c r="I19" s="60" t="str">
        <f t="shared" si="0"/>
        <v xml:space="preserve"> </v>
      </c>
      <c r="J19" s="60"/>
      <c r="K19" s="60"/>
      <c r="L19" s="123" t="str">
        <f t="shared" si="2"/>
        <v xml:space="preserve"> </v>
      </c>
    </row>
    <row r="20" spans="1:12" x14ac:dyDescent="0.25">
      <c r="A20" s="22" t="str">
        <f>'SC_Loop 1'!A20</f>
        <v>DTD-210A-I</v>
      </c>
      <c r="B20" s="23"/>
      <c r="C20" s="24">
        <f>'SC_Loop 1'!C20</f>
        <v>2.9999999999999997E-4</v>
      </c>
      <c r="D20" s="68">
        <f t="shared" si="3"/>
        <v>0</v>
      </c>
      <c r="E20" s="234">
        <f t="shared" si="1"/>
        <v>0</v>
      </c>
      <c r="F20" s="24">
        <f>'SC_Loop 1'!F20</f>
        <v>3.0000000000000001E-3</v>
      </c>
      <c r="G20" s="68">
        <f t="shared" si="4"/>
        <v>0</v>
      </c>
      <c r="H20" s="60"/>
      <c r="I20" s="60" t="str">
        <f t="shared" si="0"/>
        <v xml:space="preserve"> </v>
      </c>
      <c r="J20" s="60"/>
      <c r="K20" s="60"/>
      <c r="L20" s="123" t="str">
        <f t="shared" si="2"/>
        <v xml:space="preserve"> </v>
      </c>
    </row>
    <row r="21" spans="1:12" x14ac:dyDescent="0.25">
      <c r="A21" s="22" t="str">
        <f>'SC_Loop 1'!A21</f>
        <v>DTD-215A</v>
      </c>
      <c r="B21" s="23"/>
      <c r="C21" s="24">
        <f>'SC_Loop 1'!C21</f>
        <v>2.9999999999999997E-4</v>
      </c>
      <c r="D21" s="68">
        <f t="shared" si="3"/>
        <v>0</v>
      </c>
      <c r="E21" s="234">
        <f t="shared" si="1"/>
        <v>0</v>
      </c>
      <c r="F21" s="24">
        <f>'SC_Loop 1'!F21</f>
        <v>3.0000000000000001E-3</v>
      </c>
      <c r="G21" s="68">
        <f t="shared" si="4"/>
        <v>0</v>
      </c>
      <c r="H21" s="60"/>
      <c r="I21" s="60" t="str">
        <f t="shared" si="0"/>
        <v xml:space="preserve"> </v>
      </c>
      <c r="J21" s="60"/>
      <c r="K21" s="60"/>
      <c r="L21" s="123" t="str">
        <f t="shared" si="2"/>
        <v xml:space="preserve"> </v>
      </c>
    </row>
    <row r="22" spans="1:12" x14ac:dyDescent="0.25">
      <c r="A22" s="22" t="str">
        <f>'SC_Loop 1'!A22</f>
        <v>DTD-215A-I</v>
      </c>
      <c r="B22" s="23"/>
      <c r="C22" s="24">
        <f>'SC_Loop 1'!C22</f>
        <v>2.9999999999999997E-4</v>
      </c>
      <c r="D22" s="68">
        <f t="shared" si="3"/>
        <v>0</v>
      </c>
      <c r="E22" s="234">
        <f t="shared" si="1"/>
        <v>0</v>
      </c>
      <c r="F22" s="24">
        <f>'SC_Loop 1'!F22</f>
        <v>3.0000000000000001E-3</v>
      </c>
      <c r="G22" s="68">
        <f t="shared" si="4"/>
        <v>0</v>
      </c>
      <c r="H22" s="60"/>
      <c r="I22" s="60" t="str">
        <f t="shared" si="0"/>
        <v xml:space="preserve"> </v>
      </c>
      <c r="J22" s="60"/>
      <c r="K22" s="60"/>
      <c r="L22" s="123" t="str">
        <f t="shared" si="2"/>
        <v xml:space="preserve"> </v>
      </c>
    </row>
    <row r="23" spans="1:12" x14ac:dyDescent="0.25">
      <c r="A23" s="22" t="str">
        <f>'SC_Loop 1'!A23</f>
        <v>DGD-600</v>
      </c>
      <c r="B23" s="23"/>
      <c r="C23" s="24">
        <f>'SC_Loop 1'!C23</f>
        <v>9.1E-4</v>
      </c>
      <c r="D23" s="68">
        <f t="shared" si="3"/>
        <v>0</v>
      </c>
      <c r="E23" s="234">
        <f>IF(B23&gt;10,10,B23)</f>
        <v>0</v>
      </c>
      <c r="F23" s="24">
        <f>'SC_Loop 1'!F23</f>
        <v>1.1000000000000001E-3</v>
      </c>
      <c r="G23" s="68">
        <f t="shared" si="4"/>
        <v>0</v>
      </c>
      <c r="H23" s="60"/>
      <c r="I23" s="60" t="str">
        <f t="shared" si="0"/>
        <v xml:space="preserve"> </v>
      </c>
      <c r="J23" s="60"/>
      <c r="K23" s="60"/>
      <c r="L23" s="123" t="str">
        <f t="shared" si="2"/>
        <v xml:space="preserve"> </v>
      </c>
    </row>
    <row r="24" spans="1:12" x14ac:dyDescent="0.25">
      <c r="A24" s="22" t="str">
        <f>'SC_Loop 1'!A24</f>
        <v>DGD-600-AC</v>
      </c>
      <c r="B24" s="23"/>
      <c r="C24" s="24">
        <f>'SC_Loop 1'!C24</f>
        <v>9.1E-4</v>
      </c>
      <c r="D24" s="68">
        <f t="shared" si="3"/>
        <v>0</v>
      </c>
      <c r="E24" s="234">
        <f t="shared" ref="E24:E26" si="5">IF(B24&gt;10,10,B24)</f>
        <v>0</v>
      </c>
      <c r="F24" s="24">
        <f>'SC_Loop 1'!F24</f>
        <v>1.1000000000000001E-3</v>
      </c>
      <c r="G24" s="68">
        <f t="shared" si="4"/>
        <v>0</v>
      </c>
      <c r="H24" s="60"/>
      <c r="I24" s="60" t="str">
        <f t="shared" si="0"/>
        <v xml:space="preserve"> </v>
      </c>
      <c r="J24" s="60"/>
      <c r="K24" s="60"/>
      <c r="L24" s="123" t="str">
        <f t="shared" si="2"/>
        <v xml:space="preserve"> </v>
      </c>
    </row>
    <row r="25" spans="1:12" x14ac:dyDescent="0.25">
      <c r="A25" s="22" t="str">
        <f>'SC_Loop 1'!A25</f>
        <v>DGD-620</v>
      </c>
      <c r="B25" s="23"/>
      <c r="C25" s="24">
        <f>'SC_Loop 1'!C25</f>
        <v>9.1E-4</v>
      </c>
      <c r="D25" s="68">
        <f t="shared" si="3"/>
        <v>0</v>
      </c>
      <c r="E25" s="234">
        <f t="shared" si="5"/>
        <v>0</v>
      </c>
      <c r="F25" s="24">
        <f>'SC_Loop 1'!F25</f>
        <v>1.1000000000000001E-3</v>
      </c>
      <c r="G25" s="68">
        <f t="shared" si="4"/>
        <v>0</v>
      </c>
      <c r="H25" s="60"/>
      <c r="I25" s="60" t="str">
        <f t="shared" si="0"/>
        <v xml:space="preserve"> </v>
      </c>
      <c r="J25" s="60"/>
      <c r="K25" s="60"/>
      <c r="L25" s="123" t="str">
        <f t="shared" si="2"/>
        <v xml:space="preserve"> </v>
      </c>
    </row>
    <row r="26" spans="1:12" x14ac:dyDescent="0.25">
      <c r="A26" s="22" t="str">
        <f>'SC_Loop 1'!A26</f>
        <v>DGD-620-AC</v>
      </c>
      <c r="B26" s="23"/>
      <c r="C26" s="24">
        <f>'SC_Loop 1'!C26</f>
        <v>9.1E-4</v>
      </c>
      <c r="D26" s="68">
        <f t="shared" si="3"/>
        <v>0</v>
      </c>
      <c r="E26" s="234">
        <f t="shared" si="5"/>
        <v>0</v>
      </c>
      <c r="F26" s="24">
        <f>'SC_Loop 1'!F26</f>
        <v>1.1000000000000001E-3</v>
      </c>
      <c r="G26" s="68">
        <f t="shared" si="4"/>
        <v>0</v>
      </c>
      <c r="H26" s="60"/>
      <c r="I26" s="60" t="str">
        <f t="shared" si="0"/>
        <v xml:space="preserve"> </v>
      </c>
      <c r="J26" s="60"/>
      <c r="K26" s="60"/>
      <c r="L26" s="123" t="str">
        <f t="shared" si="2"/>
        <v xml:space="preserve"> </v>
      </c>
    </row>
    <row r="27" spans="1:12" x14ac:dyDescent="0.25">
      <c r="A27" s="22" t="str">
        <f>'SC_Loop 1'!A27</f>
        <v>MAD-401 &amp; MAD-401-I</v>
      </c>
      <c r="B27" s="23"/>
      <c r="C27" s="24">
        <f>'SC_Loop 1'!C27</f>
        <v>2.9999999999999997E-4</v>
      </c>
      <c r="D27" s="68">
        <f t="shared" si="3"/>
        <v>0</v>
      </c>
      <c r="E27" s="233">
        <f>B27*'System Calculation'!$I$14</f>
        <v>0</v>
      </c>
      <c r="F27" s="24">
        <f>'SC_Loop 1'!F27</f>
        <v>3.0000000000000001E-3</v>
      </c>
      <c r="G27" s="68">
        <f t="shared" si="4"/>
        <v>0</v>
      </c>
      <c r="H27" s="60"/>
      <c r="I27" s="60"/>
      <c r="J27" s="60" t="str">
        <f>IF(B27&lt;&gt;0,B27," ")</f>
        <v xml:space="preserve"> </v>
      </c>
      <c r="K27" s="60"/>
      <c r="L27" s="123" t="str">
        <f>IF(J27&lt;&gt;0,J27," ")</f>
        <v xml:space="preserve"> </v>
      </c>
    </row>
    <row r="28" spans="1:12" x14ac:dyDescent="0.25">
      <c r="A28" s="22" t="str">
        <f>'SC_Loop 1'!A28</f>
        <v>MAD-402 &amp; MAD-402-I</v>
      </c>
      <c r="B28" s="23"/>
      <c r="C28" s="24">
        <f>'SC_Loop 1'!C28</f>
        <v>2.9999999999999997E-4</v>
      </c>
      <c r="D28" s="68">
        <f t="shared" si="3"/>
        <v>0</v>
      </c>
      <c r="E28" s="233">
        <f>B28*'System Calculation'!$I$14</f>
        <v>0</v>
      </c>
      <c r="F28" s="24">
        <f>'SC_Loop 1'!F28</f>
        <v>3.0000000000000001E-3</v>
      </c>
      <c r="G28" s="68">
        <f t="shared" si="4"/>
        <v>0</v>
      </c>
      <c r="H28" s="60"/>
      <c r="I28" s="60"/>
      <c r="J28" s="60">
        <f>IF(B28&lt;&gt;0,B28,0)</f>
        <v>0</v>
      </c>
      <c r="K28" s="60"/>
      <c r="L28" s="123" t="str">
        <f>IF(J28&lt;&gt;0,2*J28," ")</f>
        <v xml:space="preserve"> </v>
      </c>
    </row>
    <row r="29" spans="1:12" x14ac:dyDescent="0.25">
      <c r="A29" s="22" t="str">
        <f>'SC_Loop 1'!A29</f>
        <v>MAD-405-I</v>
      </c>
      <c r="B29" s="23"/>
      <c r="C29" s="24">
        <f>'SC_Loop 1'!C29</f>
        <v>2.9999999999999997E-4</v>
      </c>
      <c r="D29" s="68">
        <f t="shared" si="3"/>
        <v>0</v>
      </c>
      <c r="E29" s="233">
        <f>B29*'System Calculation'!$I$14</f>
        <v>0</v>
      </c>
      <c r="F29" s="24">
        <f>'SC_Loop 1'!F29</f>
        <v>3.0000000000000001E-3</v>
      </c>
      <c r="G29" s="68">
        <f t="shared" si="4"/>
        <v>0</v>
      </c>
      <c r="H29" s="60"/>
      <c r="I29" s="60"/>
      <c r="J29" s="60">
        <f>IF(B29&lt;&gt;0,B29,0)</f>
        <v>0</v>
      </c>
      <c r="K29" s="60"/>
      <c r="L29" s="123" t="str">
        <f>IF(J29&lt;&gt;0,5*J29," ")</f>
        <v xml:space="preserve"> </v>
      </c>
    </row>
    <row r="30" spans="1:12" x14ac:dyDescent="0.25">
      <c r="A30" s="22" t="str">
        <f>'SC_Loop 1'!A30</f>
        <v>MAD-409-I</v>
      </c>
      <c r="B30" s="23"/>
      <c r="C30" s="24">
        <f>'SC_Loop 1'!C30</f>
        <v>2.9999999999999997E-4</v>
      </c>
      <c r="D30" s="68">
        <f t="shared" si="3"/>
        <v>0</v>
      </c>
      <c r="E30" s="233">
        <f>B30*'System Calculation'!$I$14</f>
        <v>0</v>
      </c>
      <c r="F30" s="24">
        <f>'SC_Loop 1'!F30</f>
        <v>3.0000000000000001E-3</v>
      </c>
      <c r="G30" s="68">
        <f t="shared" si="4"/>
        <v>0</v>
      </c>
      <c r="H30" s="60"/>
      <c r="I30" s="60"/>
      <c r="J30" s="60">
        <f>IF(B30&lt;&gt;0,B30,0)</f>
        <v>0</v>
      </c>
      <c r="K30" s="60"/>
      <c r="L30" s="123" t="str">
        <f>IF(J30&lt;&gt;0,10*J30," ")</f>
        <v xml:space="preserve"> </v>
      </c>
    </row>
    <row r="31" spans="1:12" x14ac:dyDescent="0.25">
      <c r="A31" s="22" t="str">
        <f>'SC_Loop 1'!A31</f>
        <v>MAD-411 &amp; MAD-411-I</v>
      </c>
      <c r="B31" s="23"/>
      <c r="C31" s="24">
        <f>'SC_Loop 1'!C31</f>
        <v>2.9999999999999997E-4</v>
      </c>
      <c r="D31" s="68">
        <f t="shared" si="3"/>
        <v>0</v>
      </c>
      <c r="E31" s="233">
        <f>B31*'System Calculation'!$I$14</f>
        <v>0</v>
      </c>
      <c r="F31" s="24">
        <f>'SC_Loop 1'!F31</f>
        <v>3.0000000000000001E-3</v>
      </c>
      <c r="G31" s="68">
        <f t="shared" si="4"/>
        <v>0</v>
      </c>
      <c r="H31" s="60"/>
      <c r="I31" s="60"/>
      <c r="J31" s="60" t="str">
        <f>IF(B31&lt;&gt;0,B31," ")</f>
        <v xml:space="preserve"> </v>
      </c>
      <c r="K31" s="60"/>
      <c r="L31" s="123" t="str">
        <f>IF(J31&lt;&gt;0,J31," ")</f>
        <v xml:space="preserve"> </v>
      </c>
    </row>
    <row r="32" spans="1:12" x14ac:dyDescent="0.25">
      <c r="A32" s="22" t="str">
        <f>'SC_Loop 1'!A32</f>
        <v>MAD-412 &amp; MAD-412-I</v>
      </c>
      <c r="B32" s="23"/>
      <c r="C32" s="24">
        <f>'SC_Loop 1'!C32</f>
        <v>2.9999999999999997E-4</v>
      </c>
      <c r="D32" s="68">
        <f t="shared" si="3"/>
        <v>0</v>
      </c>
      <c r="E32" s="233">
        <f>B32*'System Calculation'!$I$14</f>
        <v>0</v>
      </c>
      <c r="F32" s="24">
        <f>'SC_Loop 1'!F32</f>
        <v>3.0000000000000001E-3</v>
      </c>
      <c r="G32" s="68">
        <f t="shared" si="4"/>
        <v>0</v>
      </c>
      <c r="H32" s="60"/>
      <c r="I32" s="60"/>
      <c r="J32" s="60">
        <f t="shared" ref="J32:J38" si="6">IF(B32&lt;&gt;0,B32,0)</f>
        <v>0</v>
      </c>
      <c r="K32" s="60"/>
      <c r="L32" s="123" t="str">
        <f>IF(J32&lt;&gt;0,2*J32," ")</f>
        <v xml:space="preserve"> </v>
      </c>
    </row>
    <row r="33" spans="1:14" x14ac:dyDescent="0.25">
      <c r="A33" s="22" t="str">
        <f>'SC_Loop 1'!A33</f>
        <v>MAD-415-I</v>
      </c>
      <c r="B33" s="23"/>
      <c r="C33" s="24">
        <f>'SC_Loop 1'!C33</f>
        <v>2.9999999999999997E-4</v>
      </c>
      <c r="D33" s="68">
        <f t="shared" si="3"/>
        <v>0</v>
      </c>
      <c r="E33" s="233">
        <f>B33*'System Calculation'!$I$14</f>
        <v>0</v>
      </c>
      <c r="F33" s="24">
        <f>'SC_Loop 1'!F33</f>
        <v>3.0000000000000001E-3</v>
      </c>
      <c r="G33" s="68">
        <f t="shared" si="4"/>
        <v>0</v>
      </c>
      <c r="H33" s="60"/>
      <c r="I33" s="60"/>
      <c r="J33" s="60">
        <f t="shared" si="6"/>
        <v>0</v>
      </c>
      <c r="K33" s="60"/>
      <c r="L33" s="123" t="str">
        <f>IF(J33&lt;&gt;0,5*J33," ")</f>
        <v xml:space="preserve"> </v>
      </c>
      <c r="N33" s="195" t="str">
        <f>IF(AND(B33&gt;0),"Info: External 24V needed. Control Panel could provide from 24Vaux, if 500mA maximum current isn't exceeded."," ")</f>
        <v xml:space="preserve"> </v>
      </c>
    </row>
    <row r="34" spans="1:14" x14ac:dyDescent="0.25">
      <c r="A34" s="22" t="str">
        <f>'SC_Loop 1'!A34</f>
        <v>MAD-419-I</v>
      </c>
      <c r="B34" s="23"/>
      <c r="C34" s="24">
        <f>'SC_Loop 1'!C34</f>
        <v>2.9999999999999997E-4</v>
      </c>
      <c r="D34" s="68">
        <f t="shared" si="3"/>
        <v>0</v>
      </c>
      <c r="E34" s="233">
        <f>B34*'System Calculation'!$I$14</f>
        <v>0</v>
      </c>
      <c r="F34" s="24">
        <f>'SC_Loop 1'!F34</f>
        <v>3.0000000000000001E-3</v>
      </c>
      <c r="G34" s="68">
        <f t="shared" si="4"/>
        <v>0</v>
      </c>
      <c r="H34" s="60"/>
      <c r="I34" s="60"/>
      <c r="J34" s="60">
        <f t="shared" si="6"/>
        <v>0</v>
      </c>
      <c r="K34" s="60"/>
      <c r="L34" s="123" t="str">
        <f>IF(J34&lt;&gt;0,10*J34," ")</f>
        <v xml:space="preserve"> </v>
      </c>
      <c r="N34" s="41" t="str">
        <f>IF(AND(B34&gt;0),"Info: External 24V needed. Control Panel could provide from 24Vaux, if 500mA maximum current isn't exceeded."," ")</f>
        <v xml:space="preserve"> </v>
      </c>
    </row>
    <row r="35" spans="1:14" x14ac:dyDescent="0.25">
      <c r="A35" s="22" t="str">
        <f>'SC_Loop 1'!A35</f>
        <v>MAD-421 &amp; MAD-421-I</v>
      </c>
      <c r="B35" s="23"/>
      <c r="C35" s="24">
        <f>'SC_Loop 1'!C35</f>
        <v>2.9999999999999997E-4</v>
      </c>
      <c r="D35" s="68">
        <f t="shared" si="3"/>
        <v>0</v>
      </c>
      <c r="E35" s="233">
        <f>B35*'System Calculation'!$I$14</f>
        <v>0</v>
      </c>
      <c r="F35" s="24">
        <f>'SC_Loop 1'!F35</f>
        <v>3.0000000000000001E-3</v>
      </c>
      <c r="G35" s="68">
        <f t="shared" si="4"/>
        <v>0</v>
      </c>
      <c r="H35" s="60"/>
      <c r="I35" s="60"/>
      <c r="J35" s="60">
        <f t="shared" si="6"/>
        <v>0</v>
      </c>
      <c r="K35" s="60"/>
      <c r="L35" s="123" t="str">
        <f>IF(J35&lt;&gt;0,2*J35," ")</f>
        <v xml:space="preserve"> </v>
      </c>
      <c r="N35" s="41"/>
    </row>
    <row r="36" spans="1:14" x14ac:dyDescent="0.25">
      <c r="A36" s="22" t="str">
        <f>'SC_Loop 1'!A36</f>
        <v>MAD-422 &amp; MAD-422-I</v>
      </c>
      <c r="B36" s="23"/>
      <c r="C36" s="24">
        <f>'SC_Loop 1'!C36</f>
        <v>2.9999999999999997E-4</v>
      </c>
      <c r="D36" s="68">
        <f t="shared" si="3"/>
        <v>0</v>
      </c>
      <c r="E36" s="233">
        <f>B36*'System Calculation'!$I$14</f>
        <v>0</v>
      </c>
      <c r="F36" s="24">
        <f>'SC_Loop 1'!F36</f>
        <v>3.0000000000000001E-3</v>
      </c>
      <c r="G36" s="68">
        <f t="shared" si="4"/>
        <v>0</v>
      </c>
      <c r="H36" s="60"/>
      <c r="I36" s="60"/>
      <c r="J36" s="60">
        <f t="shared" si="6"/>
        <v>0</v>
      </c>
      <c r="K36" s="60"/>
      <c r="L36" s="123" t="str">
        <f>IF(J36&lt;&gt;0,4*J36," ")</f>
        <v xml:space="preserve"> </v>
      </c>
      <c r="N36" s="41" t="str">
        <f>IF(AND(B36&gt;0,B36&lt;5),CONCATENATE("Info: External 24V needed. Control Panel could provide from 24Vaux, if 500mA maximum current isn't exceeded. Current requested from device(s) = ",D36,"mA."),IF(B36=0," ",IF(OR(B36=5,B36&gt;5),CONCATENATE("Warning: External 24V PSU is mandatory. Current requested from devices = ",D36,"mA.")," ")))</f>
        <v xml:space="preserve"> </v>
      </c>
    </row>
    <row r="37" spans="1:14" x14ac:dyDescent="0.25">
      <c r="A37" s="22" t="str">
        <f>'SC_Loop 1'!A37</f>
        <v>MAD-425-I</v>
      </c>
      <c r="B37" s="23"/>
      <c r="C37" s="24">
        <f>'SC_Loop 1'!C37</f>
        <v>2.9999999999999997E-4</v>
      </c>
      <c r="D37" s="68">
        <f t="shared" si="3"/>
        <v>0</v>
      </c>
      <c r="E37" s="233">
        <f>B37*'System Calculation'!$I$14</f>
        <v>0</v>
      </c>
      <c r="F37" s="24">
        <f>'SC_Loop 1'!F37</f>
        <v>3.0000000000000001E-3</v>
      </c>
      <c r="G37" s="68">
        <f t="shared" si="4"/>
        <v>0</v>
      </c>
      <c r="H37" s="60"/>
      <c r="I37" s="60"/>
      <c r="J37" s="60">
        <f t="shared" si="6"/>
        <v>0</v>
      </c>
      <c r="K37" s="60"/>
      <c r="L37" s="123" t="str">
        <f>IF(J37&lt;&gt;0,10*J37," ")</f>
        <v xml:space="preserve"> </v>
      </c>
      <c r="N37" s="41" t="str">
        <f t="shared" ref="N37:N42" si="7">IF(AND(B37&gt;0),"Info: External 24V needed. Control Panel could provide from 24Vaux, if 500mA maximum current isn't exceeded."," ")</f>
        <v xml:space="preserve"> </v>
      </c>
    </row>
    <row r="38" spans="1:14" x14ac:dyDescent="0.25">
      <c r="A38" s="22" t="str">
        <f>'SC_Loop 1'!A38</f>
        <v>MAD-429-I</v>
      </c>
      <c r="B38" s="23"/>
      <c r="C38" s="24">
        <f>'SC_Loop 1'!C38</f>
        <v>2.9999999999999997E-4</v>
      </c>
      <c r="D38" s="68">
        <f t="shared" si="3"/>
        <v>0</v>
      </c>
      <c r="E38" s="233">
        <f>B38*'System Calculation'!$I$14</f>
        <v>0</v>
      </c>
      <c r="F38" s="24">
        <f>'SC_Loop 1'!F38</f>
        <v>3.0000000000000001E-3</v>
      </c>
      <c r="G38" s="68">
        <f t="shared" si="4"/>
        <v>0</v>
      </c>
      <c r="H38" s="60"/>
      <c r="I38" s="60"/>
      <c r="J38" s="60">
        <f t="shared" si="6"/>
        <v>0</v>
      </c>
      <c r="K38" s="60"/>
      <c r="L38" s="123" t="str">
        <f>IF(J38&lt;&gt;0,20*J38," ")</f>
        <v xml:space="preserve"> </v>
      </c>
      <c r="N38" s="41" t="str">
        <f t="shared" si="7"/>
        <v xml:space="preserve"> </v>
      </c>
    </row>
    <row r="39" spans="1:14" x14ac:dyDescent="0.25">
      <c r="A39" s="22" t="str">
        <f>'SC_Loop 1'!A39</f>
        <v>MAD-431 &amp; MAD-431-I</v>
      </c>
      <c r="B39" s="23"/>
      <c r="C39" s="24">
        <f>'SC_Loop 1'!C39</f>
        <v>2.9999999999999997E-4</v>
      </c>
      <c r="D39" s="68">
        <f t="shared" si="3"/>
        <v>0</v>
      </c>
      <c r="E39" s="233">
        <f>B39*'System Calculation'!$I$14</f>
        <v>0</v>
      </c>
      <c r="F39" s="24">
        <f>'SC_Loop 1'!F39</f>
        <v>3.0000000000000001E-3</v>
      </c>
      <c r="G39" s="68">
        <f t="shared" si="4"/>
        <v>0</v>
      </c>
      <c r="H39" s="60"/>
      <c r="I39" s="60"/>
      <c r="J39" s="60" t="str">
        <f>IF(B39&lt;&gt;0,B39," ")</f>
        <v xml:space="preserve"> </v>
      </c>
      <c r="K39" s="60"/>
      <c r="L39" s="123" t="str">
        <f>IF(J39&lt;&gt;0,J39," ")</f>
        <v xml:space="preserve"> </v>
      </c>
      <c r="N39" s="41" t="str">
        <f t="shared" si="7"/>
        <v xml:space="preserve"> </v>
      </c>
    </row>
    <row r="40" spans="1:14" x14ac:dyDescent="0.25">
      <c r="A40" s="22" t="str">
        <f>'SC_Loop 1'!A40</f>
        <v>MAD-432 &amp; MAD-432-I</v>
      </c>
      <c r="B40" s="23"/>
      <c r="C40" s="24">
        <f>'SC_Loop 1'!C40</f>
        <v>2.9999999999999997E-4</v>
      </c>
      <c r="D40" s="68">
        <f t="shared" si="3"/>
        <v>0</v>
      </c>
      <c r="E40" s="233">
        <f>B40*'System Calculation'!$I$14</f>
        <v>0</v>
      </c>
      <c r="F40" s="24">
        <f>'SC_Loop 1'!F40</f>
        <v>3.0000000000000001E-3</v>
      </c>
      <c r="G40" s="68">
        <f t="shared" si="4"/>
        <v>0</v>
      </c>
      <c r="H40" s="60"/>
      <c r="I40" s="60"/>
      <c r="J40" s="60">
        <f>IF(B40&lt;&gt;0,B40,0)</f>
        <v>0</v>
      </c>
      <c r="K40" s="60"/>
      <c r="L40" s="123" t="str">
        <f>IF(J40&lt;&gt;0,2*J40," ")</f>
        <v xml:space="preserve"> </v>
      </c>
      <c r="N40" s="41" t="str">
        <f t="shared" si="7"/>
        <v xml:space="preserve"> </v>
      </c>
    </row>
    <row r="41" spans="1:14" x14ac:dyDescent="0.25">
      <c r="A41" s="22" t="str">
        <f>'SC_Loop 1'!A41</f>
        <v>MAD-441 &amp; MAD-441-I</v>
      </c>
      <c r="B41" s="23"/>
      <c r="C41" s="24">
        <f>'SC_Loop 1'!C41</f>
        <v>2.9999999999999997E-4</v>
      </c>
      <c r="D41" s="68">
        <f t="shared" si="3"/>
        <v>0</v>
      </c>
      <c r="E41" s="233">
        <f>B41*'System Calculation'!$I$14</f>
        <v>0</v>
      </c>
      <c r="F41" s="24">
        <f>'SC_Loop 1'!F41</f>
        <v>3.0000000000000001E-3</v>
      </c>
      <c r="G41" s="68">
        <f t="shared" si="4"/>
        <v>0</v>
      </c>
      <c r="H41" s="60"/>
      <c r="I41" s="60"/>
      <c r="J41" s="60" t="str">
        <f>IF(B41&lt;&gt;0,B41," ")</f>
        <v xml:space="preserve"> </v>
      </c>
      <c r="K41" s="60"/>
      <c r="L41" s="123" t="str">
        <f>IF(J41&lt;&gt;0,J41," ")</f>
        <v xml:space="preserve"> </v>
      </c>
      <c r="N41" s="41" t="str">
        <f t="shared" si="7"/>
        <v xml:space="preserve"> </v>
      </c>
    </row>
    <row r="42" spans="1:14" x14ac:dyDescent="0.25">
      <c r="A42" s="22" t="str">
        <f>'SC_Loop 1'!A42</f>
        <v>MAD-442 &amp; MAD-442-I</v>
      </c>
      <c r="B42" s="23"/>
      <c r="C42" s="24">
        <f>'SC_Loop 1'!C42</f>
        <v>2.9999999999999997E-4</v>
      </c>
      <c r="D42" s="68">
        <f t="shared" si="3"/>
        <v>0</v>
      </c>
      <c r="E42" s="233">
        <f>B42*'System Calculation'!$I$14</f>
        <v>0</v>
      </c>
      <c r="F42" s="24">
        <f>'SC_Loop 1'!F42</f>
        <v>3.0000000000000001E-3</v>
      </c>
      <c r="G42" s="68">
        <f t="shared" si="4"/>
        <v>0</v>
      </c>
      <c r="H42" s="60"/>
      <c r="I42" s="60"/>
      <c r="J42" s="60">
        <f>IF(B42&lt;&gt;0,B42,0)</f>
        <v>0</v>
      </c>
      <c r="K42" s="60"/>
      <c r="L42" s="123" t="str">
        <f>IF(J42&lt;&gt;0,2*J42," ")</f>
        <v xml:space="preserve"> </v>
      </c>
      <c r="N42" s="41" t="str">
        <f t="shared" si="7"/>
        <v xml:space="preserve"> </v>
      </c>
    </row>
    <row r="43" spans="1:14" x14ac:dyDescent="0.25">
      <c r="A43" s="22" t="str">
        <f>'SC_Loop 1'!A43</f>
        <v>MAD-450 &amp; MAD-450-I</v>
      </c>
      <c r="B43" s="23"/>
      <c r="C43" s="24">
        <f>'SC_Loop 1'!C43</f>
        <v>2.9999999999999997E-4</v>
      </c>
      <c r="D43" s="68">
        <f t="shared" si="3"/>
        <v>0</v>
      </c>
      <c r="E43" s="233">
        <f>B43*'System Calculation'!$I$12</f>
        <v>0</v>
      </c>
      <c r="F43" s="24">
        <f>'SC_Loop 1'!F43</f>
        <v>3.0000000000000001E-3</v>
      </c>
      <c r="G43" s="68">
        <f t="shared" si="4"/>
        <v>0</v>
      </c>
      <c r="H43" s="60"/>
      <c r="I43" s="59"/>
      <c r="J43" s="60"/>
      <c r="K43" s="60"/>
      <c r="L43" s="123" t="str">
        <f>IF(B43&lt;&gt;0,B43," ")</f>
        <v xml:space="preserve"> </v>
      </c>
      <c r="N43" s="11"/>
    </row>
    <row r="44" spans="1:14" x14ac:dyDescent="0.25">
      <c r="A44" s="22" t="str">
        <f>'SC_Loop 1'!A44</f>
        <v>MAD-451-I</v>
      </c>
      <c r="B44" s="23"/>
      <c r="C44" s="24">
        <f>'SC_Loop 1'!C44</f>
        <v>2.9999999999999997E-4</v>
      </c>
      <c r="D44" s="68">
        <f t="shared" si="3"/>
        <v>0</v>
      </c>
      <c r="E44" s="233">
        <f>B44*'System Calculation'!$I$12</f>
        <v>0</v>
      </c>
      <c r="F44" s="24">
        <f>'SC_Loop 1'!F44</f>
        <v>3.0000000000000001E-3</v>
      </c>
      <c r="G44" s="68">
        <f t="shared" si="4"/>
        <v>0</v>
      </c>
      <c r="H44" s="60"/>
      <c r="I44" s="60"/>
      <c r="J44" s="60"/>
      <c r="K44" s="60"/>
      <c r="L44" s="123" t="str">
        <f>IF(B44&lt;&gt;0,B44," ")</f>
        <v xml:space="preserve"> </v>
      </c>
    </row>
    <row r="45" spans="1:14" x14ac:dyDescent="0.25">
      <c r="A45" s="22" t="str">
        <f>'SC_Loop 1'!A45</f>
        <v>MAD-461-I</v>
      </c>
      <c r="B45" s="23"/>
      <c r="C45" s="24">
        <f>'SC_Loop 1'!C45</f>
        <v>2.9999999999999997E-4</v>
      </c>
      <c r="D45" s="68">
        <f t="shared" si="3"/>
        <v>0</v>
      </c>
      <c r="E45" s="233">
        <f>B45*'System Calculation'!$I$13</f>
        <v>0</v>
      </c>
      <c r="F45" s="24">
        <f>'SC_Loop 1'!F45</f>
        <v>8.9999999999999993E-3</v>
      </c>
      <c r="G45" s="68">
        <f>E45*F45</f>
        <v>0</v>
      </c>
      <c r="H45" s="60" t="str">
        <f>IF(B45*G45=0," ",G45)</f>
        <v xml:space="preserve"> </v>
      </c>
      <c r="I45" s="60"/>
      <c r="J45" s="60"/>
      <c r="K45" s="60" t="str">
        <f t="shared" ref="K45:K53" si="8">IF(B45&lt;&gt;0,B45," ")</f>
        <v xml:space="preserve"> </v>
      </c>
      <c r="L45" s="123" t="str">
        <f>IF(K45&lt;&gt;0,K45," ")</f>
        <v xml:space="preserve"> </v>
      </c>
    </row>
    <row r="46" spans="1:14" x14ac:dyDescent="0.25">
      <c r="A46" s="22" t="str">
        <f>'SC_Loop 1'!A46</f>
        <v>MAD-464-I Low vol. (78 dB)</v>
      </c>
      <c r="B46" s="23"/>
      <c r="C46" s="24">
        <f>'SC_Loop 1'!C46</f>
        <v>2.9999999999999997E-4</v>
      </c>
      <c r="D46" s="68">
        <f t="shared" si="3"/>
        <v>0</v>
      </c>
      <c r="E46" s="233">
        <f>B46*'System Calculation'!$I$13</f>
        <v>0</v>
      </c>
      <c r="F46" s="24">
        <f>'SC_Loop 1'!F46</f>
        <v>6.4999999999999997E-3</v>
      </c>
      <c r="G46" s="68">
        <f t="shared" ref="G46:G51" si="9">E46*F46</f>
        <v>0</v>
      </c>
      <c r="H46" s="60" t="str">
        <f t="shared" ref="H46:H53" si="10">IF(B46*G46=0," ",G46)</f>
        <v xml:space="preserve"> </v>
      </c>
      <c r="I46" s="60"/>
      <c r="J46" s="60"/>
      <c r="K46" s="60" t="str">
        <f t="shared" si="8"/>
        <v xml:space="preserve"> </v>
      </c>
      <c r="L46" s="123" t="str">
        <f t="shared" ref="L46:L53" si="11">IF(K46&lt;&gt;0,K46," ")</f>
        <v xml:space="preserve"> </v>
      </c>
    </row>
    <row r="47" spans="1:14" x14ac:dyDescent="0.25">
      <c r="A47" s="22" t="str">
        <f>'SC_Loop 1'!A47</f>
        <v>MAD-464-I Medium vol. (93 dB)</v>
      </c>
      <c r="B47" s="23"/>
      <c r="C47" s="24">
        <f>'SC_Loop 1'!C47</f>
        <v>2.9999999999999997E-4</v>
      </c>
      <c r="D47" s="68">
        <f t="shared" si="3"/>
        <v>0</v>
      </c>
      <c r="E47" s="233">
        <f>B47*'System Calculation'!$I$13</f>
        <v>0</v>
      </c>
      <c r="F47" s="24">
        <f>'SC_Loop 1'!F47</f>
        <v>9.7000000000000003E-3</v>
      </c>
      <c r="G47" s="68">
        <f t="shared" si="9"/>
        <v>0</v>
      </c>
      <c r="H47" s="60" t="str">
        <f t="shared" si="10"/>
        <v xml:space="preserve"> </v>
      </c>
      <c r="I47" s="60"/>
      <c r="J47" s="60"/>
      <c r="K47" s="60" t="str">
        <f t="shared" si="8"/>
        <v xml:space="preserve"> </v>
      </c>
      <c r="L47" s="123" t="str">
        <f t="shared" si="11"/>
        <v xml:space="preserve"> </v>
      </c>
    </row>
    <row r="48" spans="1:14" x14ac:dyDescent="0.25">
      <c r="A48" s="22" t="str">
        <f>'SC_Loop 1'!A48</f>
        <v>MAD-464-I High vol. (97 dB)</v>
      </c>
      <c r="B48" s="23"/>
      <c r="C48" s="24">
        <f>'SC_Loop 1'!C48</f>
        <v>2.9999999999999997E-4</v>
      </c>
      <c r="D48" s="68">
        <f t="shared" si="3"/>
        <v>0</v>
      </c>
      <c r="E48" s="233">
        <f>B48*'System Calculation'!$I$13</f>
        <v>0</v>
      </c>
      <c r="F48" s="24">
        <f>'SC_Loop 1'!F48</f>
        <v>1.2999999999999999E-2</v>
      </c>
      <c r="G48" s="68">
        <f t="shared" si="9"/>
        <v>0</v>
      </c>
      <c r="H48" s="60" t="str">
        <f t="shared" si="10"/>
        <v xml:space="preserve"> </v>
      </c>
      <c r="I48" s="60"/>
      <c r="J48" s="60"/>
      <c r="K48" s="60" t="str">
        <f t="shared" si="8"/>
        <v xml:space="preserve"> </v>
      </c>
      <c r="L48" s="123" t="str">
        <f t="shared" si="11"/>
        <v xml:space="preserve"> </v>
      </c>
    </row>
    <row r="49" spans="1:14" x14ac:dyDescent="0.25">
      <c r="A49" s="22" t="str">
        <f>'SC_Loop 1'!A49</f>
        <v>MAD-465-I Low vol. (78 dB)</v>
      </c>
      <c r="B49" s="23"/>
      <c r="C49" s="24">
        <f>'SC_Loop 1'!C49</f>
        <v>2.9999999999999997E-4</v>
      </c>
      <c r="D49" s="68">
        <f t="shared" si="3"/>
        <v>0</v>
      </c>
      <c r="E49" s="233">
        <f>B49*'System Calculation'!$I$13</f>
        <v>0</v>
      </c>
      <c r="F49" s="24">
        <f>'SC_Loop 1'!F49</f>
        <v>6.4999999999999997E-3</v>
      </c>
      <c r="G49" s="68">
        <f t="shared" si="9"/>
        <v>0</v>
      </c>
      <c r="H49" s="60" t="str">
        <f t="shared" si="10"/>
        <v xml:space="preserve"> </v>
      </c>
      <c r="I49" s="60"/>
      <c r="J49" s="60"/>
      <c r="K49" s="60" t="str">
        <f t="shared" si="8"/>
        <v xml:space="preserve"> </v>
      </c>
      <c r="L49" s="123" t="str">
        <f t="shared" si="11"/>
        <v xml:space="preserve"> </v>
      </c>
    </row>
    <row r="50" spans="1:14" x14ac:dyDescent="0.25">
      <c r="A50" s="22" t="str">
        <f>'SC_Loop 1'!A50</f>
        <v>MAD-465-I Medium vol. (93 dB)</v>
      </c>
      <c r="B50" s="23"/>
      <c r="C50" s="24">
        <f>'SC_Loop 1'!C50</f>
        <v>2.9999999999999997E-4</v>
      </c>
      <c r="D50" s="68">
        <f t="shared" si="3"/>
        <v>0</v>
      </c>
      <c r="E50" s="233">
        <f>B50*'System Calculation'!$I$13</f>
        <v>0</v>
      </c>
      <c r="F50" s="24">
        <f>'SC_Loop 1'!F50</f>
        <v>9.7000000000000003E-3</v>
      </c>
      <c r="G50" s="68">
        <f t="shared" si="9"/>
        <v>0</v>
      </c>
      <c r="H50" s="60" t="str">
        <f t="shared" si="10"/>
        <v xml:space="preserve"> </v>
      </c>
      <c r="I50" s="60"/>
      <c r="J50" s="60"/>
      <c r="K50" s="60" t="str">
        <f t="shared" si="8"/>
        <v xml:space="preserve"> </v>
      </c>
      <c r="L50" s="123" t="str">
        <f t="shared" si="11"/>
        <v xml:space="preserve"> </v>
      </c>
    </row>
    <row r="51" spans="1:14" x14ac:dyDescent="0.25">
      <c r="A51" s="22" t="str">
        <f>'SC_Loop 1'!A51</f>
        <v>MAD-465-I High vol. (97 dB)</v>
      </c>
      <c r="B51" s="23"/>
      <c r="C51" s="24">
        <f>'SC_Loop 1'!C51</f>
        <v>2.9999999999999997E-4</v>
      </c>
      <c r="D51" s="68">
        <f t="shared" si="3"/>
        <v>0</v>
      </c>
      <c r="E51" s="233">
        <f>B51*'System Calculation'!$I$13</f>
        <v>0</v>
      </c>
      <c r="F51" s="24">
        <f>'SC_Loop 1'!F51</f>
        <v>1.2999999999999999E-2</v>
      </c>
      <c r="G51" s="68">
        <f t="shared" si="9"/>
        <v>0</v>
      </c>
      <c r="H51" s="60" t="str">
        <f t="shared" si="10"/>
        <v xml:space="preserve"> </v>
      </c>
      <c r="I51" s="60"/>
      <c r="J51" s="60"/>
      <c r="K51" s="60" t="str">
        <f t="shared" si="8"/>
        <v xml:space="preserve"> </v>
      </c>
      <c r="L51" s="123" t="str">
        <f t="shared" si="11"/>
        <v xml:space="preserve"> </v>
      </c>
    </row>
    <row r="52" spans="1:14" x14ac:dyDescent="0.25">
      <c r="A52" s="22" t="str">
        <f>'SC_Loop 1'!A52</f>
        <v>MAD-472</v>
      </c>
      <c r="B52" s="23"/>
      <c r="C52" s="24">
        <f>'SC_Loop 1'!C52</f>
        <v>3.5E-4</v>
      </c>
      <c r="D52" s="68">
        <f>B52*C52</f>
        <v>0</v>
      </c>
      <c r="E52" s="233">
        <f>B52*'System Calculation'!$I$13</f>
        <v>0</v>
      </c>
      <c r="F52" s="24">
        <f>'SC_Loop 1'!F52</f>
        <v>1.4E-2</v>
      </c>
      <c r="G52" s="68">
        <f t="shared" si="4"/>
        <v>0</v>
      </c>
      <c r="H52" s="60" t="str">
        <f t="shared" si="10"/>
        <v xml:space="preserve"> </v>
      </c>
      <c r="I52" s="60"/>
      <c r="J52" s="60"/>
      <c r="K52" s="60" t="str">
        <f t="shared" si="8"/>
        <v xml:space="preserve"> </v>
      </c>
      <c r="L52" s="123" t="str">
        <f t="shared" si="11"/>
        <v xml:space="preserve"> </v>
      </c>
    </row>
    <row r="53" spans="1:14" x14ac:dyDescent="0.25">
      <c r="A53" s="22" t="str">
        <f>'SC_Loop 1'!A53</f>
        <v>MAD-473</v>
      </c>
      <c r="B53" s="23"/>
      <c r="C53" s="24">
        <f>'SC_Loop 1'!C53</f>
        <v>3.5E-4</v>
      </c>
      <c r="D53" s="68">
        <f t="shared" si="3"/>
        <v>0</v>
      </c>
      <c r="E53" s="233">
        <f>B53*'System Calculation'!$I$13</f>
        <v>0</v>
      </c>
      <c r="F53" s="24">
        <f>'SC_Loop 1'!F53</f>
        <v>1.4999999999999999E-2</v>
      </c>
      <c r="G53" s="68">
        <f t="shared" si="4"/>
        <v>0</v>
      </c>
      <c r="H53" s="60" t="str">
        <f t="shared" si="10"/>
        <v xml:space="preserve"> </v>
      </c>
      <c r="I53" s="60"/>
      <c r="J53" s="60"/>
      <c r="K53" s="60" t="str">
        <f t="shared" si="8"/>
        <v xml:space="preserve"> </v>
      </c>
      <c r="L53" s="123" t="str">
        <f t="shared" si="11"/>
        <v xml:space="preserve"> </v>
      </c>
    </row>
    <row r="54" spans="1:14" x14ac:dyDescent="0.25">
      <c r="A54" s="22" t="str">
        <f>'SC_Loop 1'!A54</f>
        <v>MAD-481</v>
      </c>
      <c r="B54" s="23"/>
      <c r="C54" s="24">
        <f>'SC_Loop 1'!C54</f>
        <v>2.9999999999999997E-4</v>
      </c>
      <c r="D54" s="68">
        <f t="shared" si="3"/>
        <v>0</v>
      </c>
      <c r="E54" s="233">
        <f>B54*'System Calculation'!$I$14</f>
        <v>0</v>
      </c>
      <c r="F54" s="24">
        <f>'SC_Loop 1'!F54</f>
        <v>3.0000000000000001E-3</v>
      </c>
      <c r="G54" s="68">
        <f t="shared" si="4"/>
        <v>0</v>
      </c>
      <c r="H54" s="60"/>
      <c r="I54" s="60"/>
      <c r="J54" s="60" t="str">
        <f>IF(B54&lt;&gt;0,B54," ")</f>
        <v xml:space="preserve"> </v>
      </c>
      <c r="K54" s="60"/>
      <c r="L54" s="123" t="str">
        <f>IF(J54&lt;&gt;0,J54," ")</f>
        <v xml:space="preserve"> </v>
      </c>
      <c r="N54" s="41"/>
    </row>
    <row r="55" spans="1:14" x14ac:dyDescent="0.25">
      <c r="A55" s="22" t="str">
        <f>'SC_Loop 1'!A55</f>
        <v>MAD-490</v>
      </c>
      <c r="B55" s="23"/>
      <c r="C55" s="24">
        <f>'SC_Loop 1'!C55</f>
        <v>2.9999999999999997E-4</v>
      </c>
      <c r="D55" s="68">
        <f t="shared" si="3"/>
        <v>0</v>
      </c>
      <c r="E55" s="233"/>
      <c r="F55" s="24">
        <f>'SC_Loop 1'!F55</f>
        <v>0.05</v>
      </c>
      <c r="G55" s="68">
        <f t="shared" si="4"/>
        <v>0</v>
      </c>
      <c r="H55" s="60"/>
      <c r="I55" s="60"/>
      <c r="J55" s="60"/>
      <c r="K55" s="60"/>
      <c r="L55" s="123"/>
    </row>
    <row r="56" spans="1:14" x14ac:dyDescent="0.25">
      <c r="A56" s="22" t="str">
        <f>'SC_Loop 1'!A56</f>
        <v>PAD-10</v>
      </c>
      <c r="B56" s="23"/>
      <c r="C56" s="24">
        <f>'SC_Loop 1'!C56</f>
        <v>6.2500000000000001E-4</v>
      </c>
      <c r="D56" s="68">
        <f t="shared" si="3"/>
        <v>0</v>
      </c>
      <c r="E56" s="233">
        <f>IF(B56&gt;10,10,B56)</f>
        <v>0</v>
      </c>
      <c r="F56" s="24">
        <f>'SC_Loop 1'!F56</f>
        <v>5.0000000000000001E-3</v>
      </c>
      <c r="G56" s="68">
        <f t="shared" si="4"/>
        <v>0</v>
      </c>
      <c r="H56" s="60"/>
      <c r="I56" s="60"/>
      <c r="J56" s="60"/>
      <c r="K56" s="60"/>
      <c r="L56" s="123"/>
    </row>
    <row r="57" spans="1:14" x14ac:dyDescent="0.25">
      <c r="A57" s="22" t="str">
        <f>'SC_Loop 1'!A57</f>
        <v>PAD-10A-I</v>
      </c>
      <c r="B57" s="23"/>
      <c r="C57" s="24">
        <f>'SC_Loop 1'!C57</f>
        <v>1.85E-4</v>
      </c>
      <c r="D57" s="68">
        <f t="shared" si="3"/>
        <v>0</v>
      </c>
      <c r="E57" s="233">
        <f>IF(B57&gt;10,10,B57)</f>
        <v>0</v>
      </c>
      <c r="F57" s="24">
        <f>'SC_Loop 1'!F57</f>
        <v>4.0000000000000001E-3</v>
      </c>
      <c r="G57" s="68">
        <f t="shared" si="4"/>
        <v>0</v>
      </c>
      <c r="H57" s="60"/>
      <c r="I57" s="60"/>
      <c r="J57" s="60"/>
      <c r="K57" s="60"/>
      <c r="L57" s="123"/>
    </row>
    <row r="58" spans="1:14" x14ac:dyDescent="0.25">
      <c r="A58" s="22" t="str">
        <f>'SC_Loop 1'!A58</f>
        <v>TPLD-100 (CCD-102) = 3 loop address</v>
      </c>
      <c r="B58" s="23"/>
      <c r="C58" s="24">
        <f>'SC_Loop 1'!C58</f>
        <v>2.9999999999999997E-4</v>
      </c>
      <c r="D58" s="68">
        <f t="shared" si="3"/>
        <v>0</v>
      </c>
      <c r="E58" s="233"/>
      <c r="F58" s="24">
        <f>'SC_Loop 1'!F58</f>
        <v>3.0000000000000001E-3</v>
      </c>
      <c r="G58" s="68">
        <f t="shared" si="4"/>
        <v>0</v>
      </c>
      <c r="H58" s="60"/>
      <c r="I58" s="60"/>
      <c r="J58" s="60"/>
      <c r="K58" s="60"/>
      <c r="L58" s="123" t="str">
        <f>IF(B58&lt;&gt;0,3*B58," ")</f>
        <v xml:space="preserve"> </v>
      </c>
    </row>
    <row r="59" spans="1:14" x14ac:dyDescent="0.25">
      <c r="A59" s="22" t="str">
        <f>'SC_Loop 1'!A59</f>
        <v>TPLD-100 (CCD-104) = 5 loop address</v>
      </c>
      <c r="B59" s="23"/>
      <c r="C59" s="24">
        <f>'SC_Loop 1'!C59</f>
        <v>2.9999999999999997E-4</v>
      </c>
      <c r="D59" s="68">
        <f t="shared" si="3"/>
        <v>0</v>
      </c>
      <c r="E59" s="233"/>
      <c r="F59" s="24">
        <f>'SC_Loop 1'!F59</f>
        <v>3.0000000000000001E-3</v>
      </c>
      <c r="G59" s="68">
        <f t="shared" si="4"/>
        <v>0</v>
      </c>
      <c r="H59" s="60"/>
      <c r="I59" s="60"/>
      <c r="J59" s="60"/>
      <c r="K59" s="60"/>
      <c r="L59" s="123" t="str">
        <f>IF(B59&lt;&gt;0,5*B59," ")</f>
        <v xml:space="preserve"> </v>
      </c>
    </row>
    <row r="60" spans="1:14" x14ac:dyDescent="0.25">
      <c r="A60" s="22" t="str">
        <f>'SC_Loop 1'!A60</f>
        <v>TPLD-100 (CCD-108) = 9 loop address</v>
      </c>
      <c r="B60" s="23"/>
      <c r="C60" s="24">
        <f>'SC_Loop 1'!C60</f>
        <v>2.9999999999999997E-4</v>
      </c>
      <c r="D60" s="68">
        <f t="shared" si="3"/>
        <v>0</v>
      </c>
      <c r="E60" s="233"/>
      <c r="F60" s="24">
        <f>'SC_Loop 1'!F60</f>
        <v>3.0000000000000001E-3</v>
      </c>
      <c r="G60" s="68">
        <f t="shared" si="4"/>
        <v>0</v>
      </c>
      <c r="H60" s="60"/>
      <c r="I60" s="60"/>
      <c r="J60" s="60"/>
      <c r="K60" s="60"/>
      <c r="L60" s="123" t="str">
        <f>IF(B60&lt;&gt;0,9*B60," ")</f>
        <v xml:space="preserve"> </v>
      </c>
    </row>
    <row r="61" spans="1:14" x14ac:dyDescent="0.25">
      <c r="A61" s="22" t="str">
        <f>'SC_Loop 1'!A61</f>
        <v>TPLD-100 (CCD-112) = 13 loop address</v>
      </c>
      <c r="B61" s="23"/>
      <c r="C61" s="24">
        <f>'SC_Loop 1'!C61</f>
        <v>2.9999999999999997E-4</v>
      </c>
      <c r="D61" s="68">
        <f t="shared" si="3"/>
        <v>0</v>
      </c>
      <c r="E61" s="233"/>
      <c r="F61" s="24">
        <f>'SC_Loop 1'!F61</f>
        <v>3.0000000000000001E-3</v>
      </c>
      <c r="G61" s="68">
        <f t="shared" si="4"/>
        <v>0</v>
      </c>
      <c r="H61" s="60"/>
      <c r="I61" s="60"/>
      <c r="J61" s="60"/>
      <c r="K61" s="60"/>
      <c r="L61" s="123" t="str">
        <f>IF(B61&lt;&gt;0,13*B61," ")</f>
        <v xml:space="preserve"> </v>
      </c>
    </row>
    <row r="62" spans="1:14" ht="13.8" thickBot="1" x14ac:dyDescent="0.3">
      <c r="A62" s="126" t="str">
        <f>'SC_Loop 1'!A62</f>
        <v>TPLD-100 (CCD-103) = 7 loop address</v>
      </c>
      <c r="B62" s="127"/>
      <c r="C62" s="199">
        <f>'SC_Loop 1'!C62</f>
        <v>2.9999999999999997E-4</v>
      </c>
      <c r="D62" s="128">
        <f t="shared" si="3"/>
        <v>0</v>
      </c>
      <c r="E62" s="235"/>
      <c r="F62" s="199">
        <f>'SC_Loop 1'!F62</f>
        <v>3.0000000000000001E-3</v>
      </c>
      <c r="G62" s="128">
        <f t="shared" si="4"/>
        <v>0</v>
      </c>
      <c r="H62" s="50"/>
      <c r="I62" s="50"/>
      <c r="J62" s="50"/>
      <c r="K62" s="141"/>
      <c r="L62" s="129" t="str">
        <f>IF(B62&lt;&gt;0,7*B62," ")</f>
        <v xml:space="preserve"> </v>
      </c>
    </row>
    <row r="63" spans="1:14" s="7" customFormat="1" ht="13.8" thickBot="1" x14ac:dyDescent="0.3">
      <c r="A63" s="19" t="s">
        <v>8</v>
      </c>
      <c r="B63" s="73">
        <f>SUM(B15:B55)+SUM(L58:L62)</f>
        <v>0</v>
      </c>
      <c r="C63" s="20"/>
      <c r="D63" s="70">
        <f>SUM(D15:D62)</f>
        <v>0</v>
      </c>
      <c r="E63" s="72">
        <f>SUM(E15:E55)</f>
        <v>0</v>
      </c>
      <c r="F63" s="70"/>
      <c r="G63" s="70">
        <f>SUM(G15:G62)</f>
        <v>0</v>
      </c>
      <c r="H63" s="70">
        <f t="shared" ref="H63:L63" si="12">SUM(H15:H62)</f>
        <v>0</v>
      </c>
      <c r="I63" s="73">
        <f t="shared" si="12"/>
        <v>0</v>
      </c>
      <c r="J63" s="73">
        <f t="shared" si="12"/>
        <v>0</v>
      </c>
      <c r="K63" s="73">
        <f t="shared" si="12"/>
        <v>0</v>
      </c>
      <c r="L63" s="142">
        <f t="shared" si="12"/>
        <v>0</v>
      </c>
    </row>
    <row r="64" spans="1:14" s="7" customFormat="1" x14ac:dyDescent="0.25">
      <c r="A64" s="29"/>
      <c r="B64" s="119"/>
      <c r="C64" s="120"/>
      <c r="D64" s="121"/>
      <c r="E64" s="122"/>
      <c r="F64" s="121"/>
      <c r="G64" s="121"/>
      <c r="H64" s="121"/>
      <c r="I64" s="121"/>
      <c r="J64" s="121"/>
      <c r="K64" s="119"/>
      <c r="L64" s="119"/>
    </row>
    <row r="65" spans="1:12" ht="14.4" customHeight="1" thickBot="1" x14ac:dyDescent="0.3">
      <c r="E65" s="32"/>
      <c r="K65" s="150" t="str">
        <f>IF($L$63&gt;250,"Error: The Loop cannot contain more than 250 addresses","")</f>
        <v/>
      </c>
    </row>
    <row r="66" spans="1:12" ht="14.4" customHeight="1" thickBot="1" x14ac:dyDescent="0.3">
      <c r="A66" s="19" t="s">
        <v>137</v>
      </c>
      <c r="B66" s="130"/>
      <c r="C66" s="130"/>
      <c r="D66" s="131"/>
      <c r="E66" s="32"/>
    </row>
    <row r="67" spans="1:12" ht="14.4" customHeight="1" x14ac:dyDescent="0.25">
      <c r="A67" s="111" t="s">
        <v>138</v>
      </c>
      <c r="B67" s="139">
        <v>1.72E-2</v>
      </c>
      <c r="C67" s="52"/>
      <c r="D67" s="134" t="s">
        <v>139</v>
      </c>
      <c r="E67" s="32"/>
    </row>
    <row r="68" spans="1:12" ht="14.4" customHeight="1" x14ac:dyDescent="0.25">
      <c r="A68" s="39" t="s">
        <v>140</v>
      </c>
      <c r="B68" s="137">
        <f>D63</f>
        <v>0</v>
      </c>
      <c r="C68" s="60"/>
      <c r="D68" s="109" t="s">
        <v>9</v>
      </c>
      <c r="E68" s="32"/>
    </row>
    <row r="69" spans="1:12" ht="14.4" customHeight="1" x14ac:dyDescent="0.25">
      <c r="A69" s="39" t="s">
        <v>141</v>
      </c>
      <c r="B69" s="137">
        <f>G63-H63</f>
        <v>0</v>
      </c>
      <c r="C69" s="60"/>
      <c r="D69" s="109" t="s">
        <v>9</v>
      </c>
      <c r="E69" s="32"/>
    </row>
    <row r="70" spans="1:12" ht="14.4" customHeight="1" x14ac:dyDescent="0.25">
      <c r="A70" s="39" t="s">
        <v>142</v>
      </c>
      <c r="B70" s="137">
        <f>H63</f>
        <v>0</v>
      </c>
      <c r="C70" s="60"/>
      <c r="D70" s="109" t="s">
        <v>9</v>
      </c>
      <c r="E70" s="32"/>
    </row>
    <row r="71" spans="1:12" ht="14.4" customHeight="1" x14ac:dyDescent="0.25">
      <c r="A71" s="39" t="s">
        <v>143</v>
      </c>
      <c r="B71" s="137">
        <f>SUM(B68:B70)</f>
        <v>0</v>
      </c>
      <c r="C71" s="60"/>
      <c r="D71" s="109" t="s">
        <v>9</v>
      </c>
      <c r="E71" s="32"/>
    </row>
    <row r="72" spans="1:12" ht="14.4" customHeight="1" thickBot="1" x14ac:dyDescent="0.3">
      <c r="A72" s="140" t="s">
        <v>144</v>
      </c>
      <c r="B72" s="124">
        <v>6.9</v>
      </c>
      <c r="C72" s="124"/>
      <c r="D72" s="34" t="s">
        <v>145</v>
      </c>
      <c r="E72" s="32"/>
    </row>
    <row r="73" spans="1:12" ht="14.4" customHeight="1" thickBot="1" x14ac:dyDescent="0.3">
      <c r="A73" s="17"/>
      <c r="E73" s="32"/>
    </row>
    <row r="74" spans="1:12" ht="14.4" customHeight="1" thickBot="1" x14ac:dyDescent="0.3">
      <c r="A74" s="8" t="s">
        <v>155</v>
      </c>
      <c r="B74" s="147"/>
      <c r="C74" s="147"/>
      <c r="D74" s="147"/>
      <c r="E74" s="162"/>
      <c r="F74" s="147"/>
      <c r="G74" s="147"/>
      <c r="H74" s="147"/>
      <c r="I74" s="147"/>
      <c r="J74" s="147"/>
      <c r="K74" s="148"/>
      <c r="L74" s="151" t="s">
        <v>151</v>
      </c>
    </row>
    <row r="75" spans="1:12" ht="14.4" customHeight="1" x14ac:dyDescent="0.25">
      <c r="A75" s="169" t="s">
        <v>156</v>
      </c>
      <c r="B75" s="52">
        <v>1000</v>
      </c>
      <c r="C75" s="52"/>
      <c r="D75" s="52">
        <v>1500</v>
      </c>
      <c r="E75" s="161"/>
      <c r="F75" s="52"/>
      <c r="G75" s="52">
        <v>2000</v>
      </c>
      <c r="H75" s="52">
        <v>2500</v>
      </c>
      <c r="I75" s="52">
        <v>3000</v>
      </c>
      <c r="J75" s="165">
        <v>3500</v>
      </c>
      <c r="K75" s="152" t="s">
        <v>152</v>
      </c>
    </row>
    <row r="76" spans="1:12" ht="14.4" customHeight="1" x14ac:dyDescent="0.25">
      <c r="A76" s="138" t="s">
        <v>157</v>
      </c>
      <c r="B76" s="154" t="e">
        <f>((($B$67*B75)/B78)*2)</f>
        <v>#DIV/0!</v>
      </c>
      <c r="C76" s="154" t="e">
        <f t="shared" ref="C76:J76" si="13">((($B$67*C75)/C78)*2)</f>
        <v>#DIV/0!</v>
      </c>
      <c r="D76" s="154" t="e">
        <f t="shared" si="13"/>
        <v>#DIV/0!</v>
      </c>
      <c r="E76" s="154" t="e">
        <f t="shared" si="13"/>
        <v>#DIV/0!</v>
      </c>
      <c r="F76" s="154" t="e">
        <f t="shared" si="13"/>
        <v>#DIV/0!</v>
      </c>
      <c r="G76" s="154" t="e">
        <f t="shared" si="13"/>
        <v>#DIV/0!</v>
      </c>
      <c r="H76" s="154" t="e">
        <f t="shared" si="13"/>
        <v>#DIV/0!</v>
      </c>
      <c r="I76" s="154" t="e">
        <f t="shared" si="13"/>
        <v>#DIV/0!</v>
      </c>
      <c r="J76" s="154" t="e">
        <f t="shared" si="13"/>
        <v>#DIV/0!</v>
      </c>
      <c r="K76" s="153" t="s">
        <v>153</v>
      </c>
    </row>
    <row r="77" spans="1:12" ht="14.4" customHeight="1" thickBot="1" x14ac:dyDescent="0.3">
      <c r="A77" s="168" t="s">
        <v>158</v>
      </c>
      <c r="B77" s="154" t="e">
        <f>B76/2</f>
        <v>#DIV/0!</v>
      </c>
      <c r="C77" s="154" t="e">
        <f t="shared" ref="C77:G77" si="14">C76/2</f>
        <v>#DIV/0!</v>
      </c>
      <c r="D77" s="154" t="e">
        <f t="shared" si="14"/>
        <v>#DIV/0!</v>
      </c>
      <c r="E77" s="154" t="e">
        <f t="shared" si="14"/>
        <v>#DIV/0!</v>
      </c>
      <c r="F77" s="154" t="e">
        <f t="shared" si="14"/>
        <v>#DIV/0!</v>
      </c>
      <c r="G77" s="154" t="e">
        <f t="shared" si="14"/>
        <v>#DIV/0!</v>
      </c>
      <c r="H77" s="154" t="e">
        <f>H76/2</f>
        <v>#DIV/0!</v>
      </c>
      <c r="I77" s="154" t="e">
        <f>I76/2</f>
        <v>#DIV/0!</v>
      </c>
      <c r="J77" s="154" t="e">
        <f>J76/2</f>
        <v>#DIV/0!</v>
      </c>
      <c r="K77" s="167" t="s">
        <v>153</v>
      </c>
    </row>
    <row r="78" spans="1:12" ht="14.4" customHeight="1" thickBot="1" x14ac:dyDescent="0.3">
      <c r="A78" s="19" t="s">
        <v>159</v>
      </c>
      <c r="B78" s="194" t="e">
        <f t="shared" ref="B78:J78" si="15">IF((($B$67*B$75)/(($B$72-((SUM($B$16,$B$18,$B$20,$B$22)*0.155)*$B$71))/$B$71))&lt;0.5,0.5,(($B$67*B$75)/(($B$72-((SUM($B$16,$B$18,$B$20,$B$22)*0.155)*$B$71))/$B$71)))</f>
        <v>#DIV/0!</v>
      </c>
      <c r="C78" s="194" t="e">
        <f t="shared" si="15"/>
        <v>#DIV/0!</v>
      </c>
      <c r="D78" s="194" t="e">
        <f t="shared" si="15"/>
        <v>#DIV/0!</v>
      </c>
      <c r="E78" s="194" t="e">
        <f t="shared" si="15"/>
        <v>#DIV/0!</v>
      </c>
      <c r="F78" s="194" t="e">
        <f t="shared" si="15"/>
        <v>#DIV/0!</v>
      </c>
      <c r="G78" s="194" t="e">
        <f t="shared" si="15"/>
        <v>#DIV/0!</v>
      </c>
      <c r="H78" s="194" t="e">
        <f t="shared" si="15"/>
        <v>#DIV/0!</v>
      </c>
      <c r="I78" s="194" t="e">
        <f t="shared" si="15"/>
        <v>#DIV/0!</v>
      </c>
      <c r="J78" s="194" t="e">
        <f t="shared" si="15"/>
        <v>#DIV/0!</v>
      </c>
      <c r="K78" s="108" t="s">
        <v>131</v>
      </c>
    </row>
    <row r="79" spans="1:12" ht="14.4" customHeight="1" thickBot="1" x14ac:dyDescent="0.3">
      <c r="A79" s="17"/>
      <c r="E79" s="32"/>
    </row>
    <row r="80" spans="1:12" ht="14.4" customHeight="1" thickBot="1" x14ac:dyDescent="0.3">
      <c r="A80" s="8" t="s">
        <v>160</v>
      </c>
      <c r="B80" s="147"/>
      <c r="C80" s="147"/>
      <c r="D80" s="147"/>
      <c r="E80" s="162"/>
      <c r="F80" s="147"/>
      <c r="G80" s="147"/>
      <c r="H80" s="147"/>
      <c r="I80" s="147"/>
      <c r="J80" s="147"/>
      <c r="K80" s="148"/>
      <c r="L80" s="151" t="s">
        <v>154</v>
      </c>
    </row>
    <row r="81" spans="1:11" ht="14.4" customHeight="1" x14ac:dyDescent="0.25">
      <c r="A81" s="163" t="s">
        <v>161</v>
      </c>
      <c r="B81" s="48">
        <v>0.5</v>
      </c>
      <c r="C81" s="52"/>
      <c r="D81" s="52">
        <v>0.75</v>
      </c>
      <c r="E81" s="161"/>
      <c r="F81" s="52"/>
      <c r="G81" s="52">
        <v>1</v>
      </c>
      <c r="H81" s="52">
        <v>1.5</v>
      </c>
      <c r="I81" s="52">
        <v>2.5</v>
      </c>
      <c r="J81" s="165">
        <v>4</v>
      </c>
      <c r="K81" s="152" t="s">
        <v>131</v>
      </c>
    </row>
    <row r="82" spans="1:11" ht="14.4" customHeight="1" x14ac:dyDescent="0.25">
      <c r="A82" s="164" t="s">
        <v>157</v>
      </c>
      <c r="B82" s="154" t="e">
        <f t="shared" ref="B82:J82" si="16">$B$67*B84/B81*2</f>
        <v>#DIV/0!</v>
      </c>
      <c r="C82" s="154" t="e">
        <f t="shared" si="16"/>
        <v>#DIV/0!</v>
      </c>
      <c r="D82" s="154" t="e">
        <f t="shared" si="16"/>
        <v>#DIV/0!</v>
      </c>
      <c r="E82" s="154" t="e">
        <f t="shared" si="16"/>
        <v>#DIV/0!</v>
      </c>
      <c r="F82" s="154" t="e">
        <f t="shared" si="16"/>
        <v>#DIV/0!</v>
      </c>
      <c r="G82" s="154" t="e">
        <f t="shared" si="16"/>
        <v>#DIV/0!</v>
      </c>
      <c r="H82" s="154" t="e">
        <f t="shared" si="16"/>
        <v>#DIV/0!</v>
      </c>
      <c r="I82" s="154" t="e">
        <f t="shared" si="16"/>
        <v>#DIV/0!</v>
      </c>
      <c r="J82" s="154" t="e">
        <f t="shared" si="16"/>
        <v>#DIV/0!</v>
      </c>
      <c r="K82" s="153" t="s">
        <v>153</v>
      </c>
    </row>
    <row r="83" spans="1:11" ht="14.4" customHeight="1" thickBot="1" x14ac:dyDescent="0.3">
      <c r="A83" s="166" t="s">
        <v>158</v>
      </c>
      <c r="B83" s="154" t="e">
        <f>B82/2</f>
        <v>#DIV/0!</v>
      </c>
      <c r="C83" s="154" t="e">
        <f t="shared" ref="C83:G83" si="17">C82/2</f>
        <v>#DIV/0!</v>
      </c>
      <c r="D83" s="154" t="e">
        <f t="shared" si="17"/>
        <v>#DIV/0!</v>
      </c>
      <c r="E83" s="154" t="e">
        <f t="shared" si="17"/>
        <v>#DIV/0!</v>
      </c>
      <c r="F83" s="154" t="e">
        <f t="shared" si="17"/>
        <v>#DIV/0!</v>
      </c>
      <c r="G83" s="154" t="e">
        <f t="shared" si="17"/>
        <v>#DIV/0!</v>
      </c>
      <c r="H83" s="154" t="e">
        <f>H82/2</f>
        <v>#DIV/0!</v>
      </c>
      <c r="I83" s="154" t="e">
        <f>I82/2</f>
        <v>#DIV/0!</v>
      </c>
      <c r="J83" s="154" t="e">
        <f>J82/2</f>
        <v>#DIV/0!</v>
      </c>
      <c r="K83" s="167" t="s">
        <v>153</v>
      </c>
    </row>
    <row r="84" spans="1:11" ht="14.4" customHeight="1" thickBot="1" x14ac:dyDescent="0.3">
      <c r="A84" s="108" t="s">
        <v>162</v>
      </c>
      <c r="B84" s="194" t="e">
        <f t="shared" ref="B84:J84" si="18">IF((((($B$72-((SUM($B$16,$B$18,$B$20,$B$22)*0.155)*$B$71))/$B$71)*B$81)/$B$67)&gt;3500,3500,(((($B$72-((SUM($B$16,$B$18,$B$20,$B$22)*0.155)*$B$71))/$B$71)*B$81)/$B$67))</f>
        <v>#DIV/0!</v>
      </c>
      <c r="C84" s="194" t="e">
        <f t="shared" si="18"/>
        <v>#DIV/0!</v>
      </c>
      <c r="D84" s="194" t="e">
        <f t="shared" si="18"/>
        <v>#DIV/0!</v>
      </c>
      <c r="E84" s="194" t="e">
        <f t="shared" si="18"/>
        <v>#DIV/0!</v>
      </c>
      <c r="F84" s="194" t="e">
        <f t="shared" si="18"/>
        <v>#DIV/0!</v>
      </c>
      <c r="G84" s="194" t="e">
        <f t="shared" si="18"/>
        <v>#DIV/0!</v>
      </c>
      <c r="H84" s="194" t="e">
        <f t="shared" si="18"/>
        <v>#DIV/0!</v>
      </c>
      <c r="I84" s="194" t="e">
        <f t="shared" si="18"/>
        <v>#DIV/0!</v>
      </c>
      <c r="J84" s="194" t="e">
        <f t="shared" si="18"/>
        <v>#DIV/0!</v>
      </c>
      <c r="K84" s="108" t="s">
        <v>152</v>
      </c>
    </row>
    <row r="85" spans="1:11" ht="14.4" customHeight="1" thickBot="1" x14ac:dyDescent="0.3">
      <c r="A85" s="17"/>
      <c r="E85" s="32"/>
    </row>
    <row r="86" spans="1:11" ht="14.4" customHeight="1" thickBot="1" x14ac:dyDescent="0.3">
      <c r="A86" s="8" t="s">
        <v>163</v>
      </c>
      <c r="B86" s="147"/>
      <c r="C86" s="147"/>
      <c r="D86" s="148"/>
      <c r="E86" s="32"/>
    </row>
    <row r="87" spans="1:11" ht="14.4" customHeight="1" x14ac:dyDescent="0.25">
      <c r="A87" s="158" t="s">
        <v>164</v>
      </c>
      <c r="B87" s="52">
        <f>$B$8</f>
        <v>1.5</v>
      </c>
      <c r="C87" s="52"/>
      <c r="D87" s="114" t="s">
        <v>131</v>
      </c>
      <c r="E87" s="32"/>
      <c r="H87" s="150" t="str">
        <f>IF(B87&lt;0.5,"Error: The Minimum Cable Seccion in the Loop is 0,5 mm2","")</f>
        <v/>
      </c>
    </row>
    <row r="88" spans="1:11" ht="14.4" customHeight="1" x14ac:dyDescent="0.25">
      <c r="A88" s="39" t="s">
        <v>165</v>
      </c>
      <c r="B88" s="60">
        <f>$B$9</f>
        <v>2000</v>
      </c>
      <c r="C88" s="60"/>
      <c r="D88" s="109" t="s">
        <v>131</v>
      </c>
      <c r="E88" s="32"/>
      <c r="H88" s="150" t="str">
        <f>IF(B88&gt;3500,"Error: The Maximum Lenght in the Line is 3500 meters","")</f>
        <v/>
      </c>
    </row>
    <row r="89" spans="1:11" ht="14.4" customHeight="1" x14ac:dyDescent="0.25">
      <c r="A89" s="39" t="s">
        <v>166</v>
      </c>
      <c r="B89" s="156">
        <f>((($B$67*B88)/B87)*2)+(SUM(B16,B18,B20,B22,)*0.155)</f>
        <v>45.866666666666667</v>
      </c>
      <c r="C89" s="60"/>
      <c r="D89" s="123" t="s">
        <v>153</v>
      </c>
      <c r="E89" s="32"/>
    </row>
    <row r="90" spans="1:11" ht="14.4" customHeight="1" thickBot="1" x14ac:dyDescent="0.3">
      <c r="A90" s="140" t="s">
        <v>167</v>
      </c>
      <c r="B90" s="155">
        <f>B89/2</f>
        <v>22.933333333333334</v>
      </c>
      <c r="C90" s="124"/>
      <c r="D90" s="125" t="s">
        <v>153</v>
      </c>
      <c r="E90" s="32"/>
    </row>
    <row r="91" spans="1:11" ht="14.4" customHeight="1" thickBot="1" x14ac:dyDescent="0.3">
      <c r="A91" s="170" t="s">
        <v>168</v>
      </c>
      <c r="B91" s="172">
        <f>$B$72/$B$90</f>
        <v>0.30087209302325585</v>
      </c>
      <c r="C91" s="171"/>
      <c r="D91" s="173" t="s">
        <v>9</v>
      </c>
      <c r="E91" s="32"/>
    </row>
    <row r="92" spans="1:11" ht="14.4" customHeight="1" thickBot="1" x14ac:dyDescent="0.3">
      <c r="A92" s="160" t="s">
        <v>134</v>
      </c>
      <c r="B92" s="147"/>
      <c r="C92" s="147"/>
      <c r="D92" s="148"/>
      <c r="E92" s="32"/>
    </row>
    <row r="93" spans="1:11" ht="14.4" customHeight="1" thickBot="1" x14ac:dyDescent="0.3">
      <c r="A93" s="160" t="s">
        <v>135</v>
      </c>
      <c r="B93" s="148"/>
      <c r="C93" s="11"/>
      <c r="D93" s="159" t="str">
        <f>IF($B$71&gt;0.4,"FAIL",IF($B$91&gt;=$B$71,"OK","FAIL"))</f>
        <v>OK</v>
      </c>
      <c r="E93" s="32"/>
      <c r="H93" s="150" t="str">
        <f>IF($B$71&gt;0.4,"Error: The Loop Current is upper that Maximum Current allowed",IF($B$91&lt;$B$71,"Error: The Loop Current is upper that Maximum Current allowed",""))</f>
        <v/>
      </c>
    </row>
    <row r="94" spans="1:11" ht="14.4" customHeight="1" thickBot="1" x14ac:dyDescent="0.3">
      <c r="A94" s="160" t="s">
        <v>136</v>
      </c>
      <c r="B94" s="148"/>
      <c r="C94" s="136"/>
      <c r="D94" s="157" t="str">
        <f>IF($L$63&lt;=250,"OK","FAIL")</f>
        <v>OK</v>
      </c>
      <c r="E94" s="32"/>
      <c r="H94" s="150" t="str">
        <f>IF($L$63&gt;250,"Error: The Loop cannot contain more than 250 addresses","")</f>
        <v/>
      </c>
    </row>
    <row r="95" spans="1:11" ht="14.4" customHeight="1" x14ac:dyDescent="0.25">
      <c r="A95" s="17"/>
      <c r="E95" s="32"/>
    </row>
    <row r="97" spans="1:12" ht="27" customHeight="1" x14ac:dyDescent="0.25">
      <c r="A97" s="238" t="s">
        <v>13</v>
      </c>
      <c r="B97" s="238"/>
      <c r="C97" s="238"/>
      <c r="D97" s="238"/>
      <c r="E97" s="238"/>
      <c r="F97" s="238"/>
      <c r="G97" s="238"/>
      <c r="H97" s="238"/>
      <c r="I97" s="238"/>
      <c r="J97" s="238"/>
      <c r="K97" s="238"/>
      <c r="L97" s="238"/>
    </row>
  </sheetData>
  <sheetProtection algorithmName="SHA-512" hashValue="JBPTsR7+12YMY4N4H42r/W/61rtdO/GqVyena0VeGij2z/1e/7fozqwlJ64XJX0D/tiFCT6n5EEl7vraUwKIWQ==" saltValue="CT7CWeNGxy6Vn1xfSte1gQ==" spinCount="100000" sheet="1" sort="0" autoFilter="0" pivotTables="0"/>
  <mergeCells count="5">
    <mergeCell ref="J7:K7"/>
    <mergeCell ref="G8:I9"/>
    <mergeCell ref="J8:K8"/>
    <mergeCell ref="J9:K9"/>
    <mergeCell ref="A97:L97"/>
  </mergeCells>
  <conditionalFormatting sqref="I43 N39:N42">
    <cfRule type="expression" dxfId="51" priority="24" stopIfTrue="1">
      <formula>$B$38&gt;2</formula>
    </cfRule>
    <cfRule type="expression" dxfId="50" priority="25" stopIfTrue="1">
      <formula>$B$38&lt;3</formula>
    </cfRule>
  </conditionalFormatting>
  <conditionalFormatting sqref="N35:N36">
    <cfRule type="expression" dxfId="49" priority="22" stopIfTrue="1">
      <formula>$B$37&gt;4</formula>
    </cfRule>
    <cfRule type="expression" dxfId="48" priority="23" stopIfTrue="1">
      <formula>$B$37&lt;5</formula>
    </cfRule>
  </conditionalFormatting>
  <conditionalFormatting sqref="N33">
    <cfRule type="expression" dxfId="47" priority="20" stopIfTrue="1">
      <formula>$B$38&gt;2</formula>
    </cfRule>
    <cfRule type="expression" dxfId="46" priority="21" stopIfTrue="1">
      <formula>$B$38&lt;3</formula>
    </cfRule>
  </conditionalFormatting>
  <conditionalFormatting sqref="N34">
    <cfRule type="expression" dxfId="45" priority="18" stopIfTrue="1">
      <formula>$B$38&gt;2</formula>
    </cfRule>
    <cfRule type="expression" dxfId="44" priority="19" stopIfTrue="1">
      <formula>$B$38&lt;3</formula>
    </cfRule>
  </conditionalFormatting>
  <conditionalFormatting sqref="N38">
    <cfRule type="expression" dxfId="43" priority="14" stopIfTrue="1">
      <formula>$B$38&gt;2</formula>
    </cfRule>
    <cfRule type="expression" dxfId="42" priority="15" stopIfTrue="1">
      <formula>$B$38&lt;3</formula>
    </cfRule>
  </conditionalFormatting>
  <conditionalFormatting sqref="N37">
    <cfRule type="expression" dxfId="41" priority="16" stopIfTrue="1">
      <formula>$B$38&gt;2</formula>
    </cfRule>
    <cfRule type="expression" dxfId="40" priority="17" stopIfTrue="1">
      <formula>$B$38&lt;3</formula>
    </cfRule>
  </conditionalFormatting>
  <conditionalFormatting sqref="J15:J45 J52:J62">
    <cfRule type="cellIs" dxfId="39" priority="13" operator="equal">
      <formula>0</formula>
    </cfRule>
  </conditionalFormatting>
  <conditionalFormatting sqref="L9">
    <cfRule type="cellIs" dxfId="38" priority="9" stopIfTrue="1" operator="equal">
      <formula>"FAIL"</formula>
    </cfRule>
  </conditionalFormatting>
  <conditionalFormatting sqref="D93">
    <cfRule type="cellIs" dxfId="37" priority="12" stopIfTrue="1" operator="equal">
      <formula>"FAIL"</formula>
    </cfRule>
  </conditionalFormatting>
  <conditionalFormatting sqref="D94">
    <cfRule type="cellIs" dxfId="36" priority="11" stopIfTrue="1" operator="equal">
      <formula>"FAIL"</formula>
    </cfRule>
  </conditionalFormatting>
  <conditionalFormatting sqref="L8">
    <cfRule type="cellIs" dxfId="35" priority="10" stopIfTrue="1" operator="equal">
      <formula>"FAIL"</formula>
    </cfRule>
  </conditionalFormatting>
  <conditionalFormatting sqref="B76:J77">
    <cfRule type="containsErrors" dxfId="34" priority="8">
      <formula>ISERROR(B76)</formula>
    </cfRule>
  </conditionalFormatting>
  <conditionalFormatting sqref="B82:J83">
    <cfRule type="containsErrors" dxfId="33" priority="7">
      <formula>ISERROR(B82)</formula>
    </cfRule>
  </conditionalFormatting>
  <conditionalFormatting sqref="B78">
    <cfRule type="containsErrors" dxfId="32" priority="26">
      <formula>ISERROR(B78)</formula>
    </cfRule>
  </conditionalFormatting>
  <conditionalFormatting sqref="D78:J78">
    <cfRule type="containsErrors" dxfId="31" priority="6">
      <formula>ISERROR(D78)</formula>
    </cfRule>
  </conditionalFormatting>
  <conditionalFormatting sqref="B84">
    <cfRule type="containsErrors" dxfId="30" priority="5">
      <formula>ISERROR(B84)</formula>
    </cfRule>
  </conditionalFormatting>
  <conditionalFormatting sqref="D84:J84">
    <cfRule type="containsErrors" dxfId="29" priority="4">
      <formula>ISERROR(D84)</formula>
    </cfRule>
  </conditionalFormatting>
  <conditionalFormatting sqref="N54">
    <cfRule type="expression" dxfId="28" priority="2" stopIfTrue="1">
      <formula>$B$37&gt;4</formula>
    </cfRule>
    <cfRule type="expression" dxfId="27" priority="3" stopIfTrue="1">
      <formula>$B$37&lt;5</formula>
    </cfRule>
  </conditionalFormatting>
  <conditionalFormatting sqref="J46:J51">
    <cfRule type="cellIs" dxfId="26" priority="1" operator="equal">
      <formula>0</formula>
    </cfRule>
  </conditionalFormatting>
  <pageMargins left="0.78740157480314965" right="0.39370078740157483" top="0.39370078740157483" bottom="0.39370078740157483" header="0" footer="0"/>
  <pageSetup paperSize="9" scale="87" orientation="portrait" horizontalDpi="1200" verticalDpi="12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FF6EC1C-26D5-410F-A3D1-A20C15B2058D}">
          <x14:formula1>
            <xm:f>Datos!$F$16:$F$20</xm:f>
          </x14:formula1>
          <xm:sqref>B8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15</vt:i4>
      </vt:variant>
    </vt:vector>
  </HeadingPairs>
  <TitlesOfParts>
    <vt:vector size="24" baseType="lpstr">
      <vt:lpstr>System Calculation</vt:lpstr>
      <vt:lpstr>SC_Loop 1</vt:lpstr>
      <vt:lpstr>SC_Loop 2</vt:lpstr>
      <vt:lpstr>SC_Loop 3</vt:lpstr>
      <vt:lpstr>SC_Loop 4</vt:lpstr>
      <vt:lpstr>SC_Loop 5</vt:lpstr>
      <vt:lpstr>SC_Loop 6</vt:lpstr>
      <vt:lpstr>SC_Loop 7</vt:lpstr>
      <vt:lpstr>SC_Loop 8</vt:lpstr>
      <vt:lpstr>CAD_150_1</vt:lpstr>
      <vt:lpstr>CAD_150_2</vt:lpstr>
      <vt:lpstr>CAD_150_2_MB</vt:lpstr>
      <vt:lpstr>CAD_150_4</vt:lpstr>
      <vt:lpstr>CAD_150_4_P</vt:lpstr>
      <vt:lpstr>CAD_150_8_4loop</vt:lpstr>
      <vt:lpstr>CAD_150_8_6loop</vt:lpstr>
      <vt:lpstr>CAD_150_8_8loop</vt:lpstr>
      <vt:lpstr>CAD_150_8PLUS_4loop</vt:lpstr>
      <vt:lpstr>CAD_150_8PLUS_6loop</vt:lpstr>
      <vt:lpstr>CAD_150_8PLUS_8loop</vt:lpstr>
      <vt:lpstr>CAD_150_8PLUS_P_4loop</vt:lpstr>
      <vt:lpstr>CAD_150_8PLUS_P_6loop</vt:lpstr>
      <vt:lpstr>CAD_150_8PLUS_P_8loop</vt:lpstr>
      <vt:lpstr>Centrales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Miguel Cabrera</dc:creator>
  <cp:lastModifiedBy>Sandra Masriera - DETNOV</cp:lastModifiedBy>
  <cp:lastPrinted>2012-08-27T12:21:11Z</cp:lastPrinted>
  <dcterms:created xsi:type="dcterms:W3CDTF">2012-08-10T08:25:10Z</dcterms:created>
  <dcterms:modified xsi:type="dcterms:W3CDTF">2020-09-09T07:08:11Z</dcterms:modified>
</cp:coreProperties>
</file>